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Stavební rozpočet" sheetId="1" r:id="rId1"/>
    <sheet name="Výkaz výměr" sheetId="2" r:id="rId2"/>
    <sheet name="Krycí list rozpočtu" sheetId="3" r:id="rId3"/>
  </sheets>
  <definedNames>
    <definedName name="_xlnm.Print_Area" localSheetId="2">'Krycí list rozpočtu'!$A$1:$I$33</definedName>
    <definedName name="_xlnm.Print_Area" localSheetId="0">'Stavební rozpočet'!$A$1:$L$49</definedName>
    <definedName name="_xlnm.Print_Area" localSheetId="1">'Výkaz výměr'!$A$1:$H$49</definedName>
  </definedNames>
  <calcPr fullCalcOnLoad="1"/>
</workbook>
</file>

<file path=xl/sharedStrings.xml><?xml version="1.0" encoding="utf-8"?>
<sst xmlns="http://schemas.openxmlformats.org/spreadsheetml/2006/main" count="442" uniqueCount="219">
  <si>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</si>
  <si>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</si>
  <si>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</si>
  <si>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</si>
  <si>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</si>
  <si>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</si>
  <si>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</si>
  <si>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</si>
  <si>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</si>
  <si>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</si>
  <si>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</si>
  <si>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</si>
  <si>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</si>
  <si>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</si>
  <si>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</si>
  <si>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</si>
  <si>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</si>
  <si>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</si>
  <si>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</si>
  <si>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</si>
  <si>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</si>
  <si>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</si>
  <si>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</si>
  <si>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</si>
  <si>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</si>
  <si>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</si>
  <si>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</si>
  <si>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</si>
  <si>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</si>
  <si>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</si>
  <si>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</si>
  <si>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</si>
  <si>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</si>
  <si>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</si>
  <si>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Objekt</t>
  </si>
  <si>
    <t>Kód</t>
  </si>
  <si>
    <t>979081111R00</t>
  </si>
  <si>
    <t>979990112R00</t>
  </si>
  <si>
    <t>979990001R00</t>
  </si>
  <si>
    <t>113106004RA0</t>
  </si>
  <si>
    <t>599000010RA0</t>
  </si>
  <si>
    <t>132101111R00</t>
  </si>
  <si>
    <t>132101101R00</t>
  </si>
  <si>
    <t>212755114RX1</t>
  </si>
  <si>
    <t>213151121R00</t>
  </si>
  <si>
    <t>174100010RAA</t>
  </si>
  <si>
    <t>212561111R00</t>
  </si>
  <si>
    <t>311419811R00</t>
  </si>
  <si>
    <t>775981115RT2</t>
  </si>
  <si>
    <t>181201102R00</t>
  </si>
  <si>
    <t>56</t>
  </si>
  <si>
    <t>564721112R00</t>
  </si>
  <si>
    <t>57</t>
  </si>
  <si>
    <t>577141212R00</t>
  </si>
  <si>
    <t>59</t>
  </si>
  <si>
    <t>460030102RT1</t>
  </si>
  <si>
    <t>916561111R00</t>
  </si>
  <si>
    <t>59217469</t>
  </si>
  <si>
    <t>596215021R00</t>
  </si>
  <si>
    <t>89</t>
  </si>
  <si>
    <t>175100020RA0</t>
  </si>
  <si>
    <t>871111101R00</t>
  </si>
  <si>
    <t>721242111R00</t>
  </si>
  <si>
    <t>893151111R00</t>
  </si>
  <si>
    <t>91</t>
  </si>
  <si>
    <t>914001111R00</t>
  </si>
  <si>
    <t>96</t>
  </si>
  <si>
    <t>965043441RT4</t>
  </si>
  <si>
    <t>Izolace základů</t>
  </si>
  <si>
    <t>Jablunkov 600</t>
  </si>
  <si>
    <t>Zkrácený popis</t>
  </si>
  <si>
    <t>Přesuny sutí</t>
  </si>
  <si>
    <t>Odvoz suti a vybour. hmot na skládku</t>
  </si>
  <si>
    <t>Poplatek za skládku suti - zbytky asfaltu</t>
  </si>
  <si>
    <t>Poplatek za skládku - zemina, kámen</t>
  </si>
  <si>
    <t>Přípravné a přidružené práce</t>
  </si>
  <si>
    <t>Rozebrání beton.dlažby a podkl.vrstvy</t>
  </si>
  <si>
    <t>Odkopání asfaltové plochy</t>
  </si>
  <si>
    <t>Hloubené vykopávky</t>
  </si>
  <si>
    <t>Hloubení rýh š. 60 cm v hor.2 - strojně</t>
  </si>
  <si>
    <t>Hloubení rýh š. 60 cm v hor.2 - ručně</t>
  </si>
  <si>
    <t>Úprava podloží a základové spáry</t>
  </si>
  <si>
    <t>Trativody z drenážních trubek DN 10 cm bez lože</t>
  </si>
  <si>
    <t>Montáž geotextílie</t>
  </si>
  <si>
    <t>Zásyp rýh vykopanou zeminou</t>
  </si>
  <si>
    <t>Zásyp drenáže umělým kamenivem š. do 45cm</t>
  </si>
  <si>
    <t>Montáž nopové fólie v.1,5m</t>
  </si>
  <si>
    <t>Lišta ukončovací k nopové folii</t>
  </si>
  <si>
    <t>Úprava pláně  zhutněním 2x</t>
  </si>
  <si>
    <t>Podkladní vrstvy komunikací a zpevněných ploch</t>
  </si>
  <si>
    <t>Vrstva kačírku tl.10cm</t>
  </si>
  <si>
    <t>Kryty štěrkových a živičných pozemních komunikací a zpevněných ploch</t>
  </si>
  <si>
    <t>Doplnění odkopané asfaltové plochy tl. do 5 cm</t>
  </si>
  <si>
    <t>Dlažby a předlažby pozemních komunikací a zpevněných ploch</t>
  </si>
  <si>
    <t>Vytrhání obrubníků, lože MC, stojatých</t>
  </si>
  <si>
    <t>Osazení obrubníků do lože z C12/15 s opěrou (původní obrubníky)</t>
  </si>
  <si>
    <t>Osazení obrubníků do lože z C12/15 s opěrou</t>
  </si>
  <si>
    <t>Obrubník zahradní 100/5/25</t>
  </si>
  <si>
    <t>Kladení zámkové dlažby tl. 6 cm do drtě tl. 4 cm (původní dlažba)</t>
  </si>
  <si>
    <t>Ostatní konstrukce a práce na trubním vedení</t>
  </si>
  <si>
    <t>Obsyp kanal. potrubí štěrkopískem</t>
  </si>
  <si>
    <t>Montáž plast.potrubí ve výkopu na gumové těsnění DN150 (odhad)</t>
  </si>
  <si>
    <t>Montáž napojení ok.svodů na kanalizaci - gaigery</t>
  </si>
  <si>
    <t>Montáž šachty revizní plastové  D315/140 vč. pl. poklopu</t>
  </si>
  <si>
    <t>Doplňující konstrukce a práce na pozemních komunikacích a zpevněných plochách</t>
  </si>
  <si>
    <t>Montáž svislé dopr.značky</t>
  </si>
  <si>
    <t>Bourání konstrukcí</t>
  </si>
  <si>
    <t>Bourání podkladů betonových tl. do 20 cm</t>
  </si>
  <si>
    <t>Doba výstavby:</t>
  </si>
  <si>
    <t>Začátek výstavby:</t>
  </si>
  <si>
    <t>Konec výstavby:</t>
  </si>
  <si>
    <t>Zpracováno dne:</t>
  </si>
  <si>
    <t>M.j.</t>
  </si>
  <si>
    <t>t</t>
  </si>
  <si>
    <t>m2</t>
  </si>
  <si>
    <t>m3</t>
  </si>
  <si>
    <t>m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</si>
  <si>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</si>
  <si>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</si>
  <si>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</si>
  <si>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</si>
  <si>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</si>
  <si>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</si>
  <si>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</si>
  <si>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</si>
  <si>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</si>
  <si>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</si>
  <si>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</si>
  <si>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</si>
  <si>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MěÚ Jablunkov</t>
  </si>
  <si>
    <t>Celkem</t>
  </si>
  <si>
    <t>Hmotnost (t)</t>
  </si>
  <si>
    <t>0</t>
  </si>
  <si>
    <t>Přesuny</t>
  </si>
  <si>
    <t>Typ skupiny</t>
  </si>
  <si>
    <t>OM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</si>
  <si>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</si>
  <si>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</si>
  <si>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</si>
  <si>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</si>
  <si>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</si>
  <si>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</si>
  <si>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</si>
  <si>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</si>
  <si>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</si>
  <si>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</si>
  <si>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(70,06+6,77-35,61)*2</t>
  </si>
  <si>
    <t>43*0,1</t>
  </si>
  <si>
    <t>43*0,1*1,9</t>
  </si>
  <si>
    <t>12*0,5+(9,9+6+9,4)*1</t>
  </si>
  <si>
    <t>19*1   pro drenáž</t>
  </si>
  <si>
    <t>19+5   pro kanalizaci</t>
  </si>
  <si>
    <t>(19,2+19+13,2+9,9+6)*0,6*1,2   drenáž</t>
  </si>
  <si>
    <t>(5+19+6)*0,6*1,2   kanalizace</t>
  </si>
  <si>
    <t>9,4*0,6*1,2</t>
  </si>
  <si>
    <t>18+19+12+9,9+6+9,4   obvod</t>
  </si>
  <si>
    <t>5,7   zaustění drenáže</t>
  </si>
  <si>
    <t>(18+19+12+9,9+6+9,4)*2</t>
  </si>
  <si>
    <t>1,4   ztratné</t>
  </si>
  <si>
    <t>(19,2+19+13,2+9,9+6)*0,25*1,2   drenáž</t>
  </si>
  <si>
    <t>9,4*0,25*1,2   drenáž</t>
  </si>
  <si>
    <t>(5+19+6)*0,6*1,2-9   kanalizace</t>
  </si>
  <si>
    <t>(19,2+19+13,2+9,9+6)*0,45*1,2   drenáž</t>
  </si>
  <si>
    <t>9,4*0,45*1,2   drenáž</t>
  </si>
  <si>
    <t>(18+19+12+9,9+6+9,4)*1,5   obvod</t>
  </si>
  <si>
    <t>3,55   ztratné</t>
  </si>
  <si>
    <t>1,7</t>
  </si>
  <si>
    <t>(18+19+12+9,9+6+9,4)*0,6*2   drenáž</t>
  </si>
  <si>
    <t>(19+6+5)*0,6*2   kanalizace</t>
  </si>
  <si>
    <t>18*0,6</t>
  </si>
  <si>
    <t>(19+19+5)*1</t>
  </si>
  <si>
    <t>12+2*0,5+3</t>
  </si>
  <si>
    <t>31,3</t>
  </si>
  <si>
    <t>(5+19+6)*0,6*0,5</t>
  </si>
  <si>
    <t>5+19+6</t>
  </si>
  <si>
    <t>3*1,5   napojení svodů</t>
  </si>
  <si>
    <t>(12+9,9+6+9,4)*1*0,2</t>
  </si>
  <si>
    <t>Varianta</t>
  </si>
  <si>
    <t>kolem zákl. š. do 25cm</t>
  </si>
  <si>
    <t>sbíječka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</si>
  <si>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</si>
  <si>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</si>
  <si>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</si>
  <si>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</si>
  <si>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</si>
  <si>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</si>
  <si>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</si>
  <si>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</si>
  <si>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</si>
  <si>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</si>
  <si>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</si>
  <si>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</si>
  <si>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</si>
  <si>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</si>
  <si>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</si>
  <si>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</si>
  <si>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</si>
  <si>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</si>
  <si>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</si>
  <si>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</si>
  <si>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</si>
  <si>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</si>
  <si>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</si>
  <si>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</si>
  <si>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</si>
  <si>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</si>
  <si>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</si>
  <si>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</si>
  <si>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</si>
  <si>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</si>
  <si>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</si>
  <si>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</si>
  <si>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</si>
  <si>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</si>
  <si>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</si>
  <si>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</si>
  <si>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</si>
  <si>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 očištěním</t>
  </si>
  <si>
    <t>Izolace základů č.p.600 Jablunkov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</si>
</sst>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17" fillId="11" borderId="0" applyNumberFormat="0" applyBorder="0" applyAlignment="0" applyProtection="0"/>
    <xf numFmtId="0" fontId="23" fillId="12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3" borderId="8" applyNumberFormat="0" applyAlignment="0" applyProtection="0"/>
    <xf numFmtId="0" fontId="21" fillId="2" borderId="8" applyNumberFormat="0" applyAlignment="0" applyProtection="0"/>
    <xf numFmtId="0" fontId="20" fillId="2" borderId="9" applyNumberFormat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</cellStyleXfs>
  <cellXfs count="105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18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18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18" borderId="12" xfId="0" applyNumberFormat="1" applyFont="1" applyFill="1" applyBorder="1" applyAlignment="1" applyProtection="1">
      <alignment horizontal="left" vertical="center"/>
      <protection/>
    </xf>
    <xf numFmtId="49" fontId="3" fillId="18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18" borderId="12" xfId="0" applyNumberFormat="1" applyFont="1" applyFill="1" applyBorder="1" applyAlignment="1" applyProtection="1">
      <alignment horizontal="right" vertical="center"/>
      <protection/>
    </xf>
    <xf numFmtId="49" fontId="3" fillId="18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18" borderId="12" xfId="0" applyNumberFormat="1" applyFont="1" applyFill="1" applyBorder="1" applyAlignment="1" applyProtection="1">
      <alignment horizontal="right" vertical="center"/>
      <protection/>
    </xf>
    <xf numFmtId="4" fontId="3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18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0" fillId="0" borderId="28" xfId="0" applyNumberFormat="1" applyFont="1" applyFill="1" applyBorder="1" applyAlignment="1" applyProtection="1">
      <alignment horizontal="right" vertical="center"/>
      <protection/>
    </xf>
    <xf numFmtId="49" fontId="10" fillId="0" borderId="28" xfId="0" applyNumberFormat="1" applyFont="1" applyFill="1" applyBorder="1" applyAlignment="1" applyProtection="1">
      <alignment horizontal="right" vertical="center"/>
      <protection/>
    </xf>
    <xf numFmtId="4" fontId="9" fillId="18" borderId="34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3" fillId="18" borderId="0" xfId="0" applyNumberFormat="1" applyFont="1" applyFill="1" applyBorder="1" applyAlignment="1" applyProtection="1">
      <alignment horizontal="left" vertical="center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18" borderId="12" xfId="0" applyNumberFormat="1" applyFont="1" applyFill="1" applyBorder="1" applyAlignment="1" applyProtection="1">
      <alignment horizontal="left" vertical="center"/>
      <protection/>
    </xf>
    <xf numFmtId="0" fontId="3" fillId="18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4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9" fillId="18" borderId="44" xfId="0" applyNumberFormat="1" applyFont="1" applyFill="1" applyBorder="1" applyAlignment="1" applyProtection="1">
      <alignment horizontal="left" vertical="center"/>
      <protection/>
    </xf>
    <xf numFmtId="0" fontId="9" fillId="18" borderId="31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zoomScalePageLayoutView="0" workbookViewId="0" topLeftCell="A1">
      <selection activeCell="D2" sqref="D2:D3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55.1406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1" width="11.7109375" style="0" customWidth="1"/>
    <col min="12" max="12" width="9.28125" style="0" customWidth="1"/>
    <col min="14" max="37" width="12.140625" style="0" hidden="1" customWidth="1"/>
  </cols>
  <sheetData>
    <row r="1" spans="1:12" ht="21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2.75">
      <c r="A2" s="62" t="s">
        <v>1</v>
      </c>
      <c r="B2" s="58"/>
      <c r="C2" s="58"/>
      <c r="D2" s="66" t="s">
        <v>218</v>
      </c>
      <c r="E2" s="57" t="s">
        <v>108</v>
      </c>
      <c r="F2" s="58"/>
      <c r="G2" s="57"/>
      <c r="H2" s="58"/>
      <c r="I2" s="57" t="s">
        <v>124</v>
      </c>
      <c r="J2" s="57" t="s">
        <v>129</v>
      </c>
      <c r="K2" s="58"/>
      <c r="L2" s="68"/>
      <c r="M2" s="24"/>
    </row>
    <row r="3" spans="1:13" ht="12.75">
      <c r="A3" s="63"/>
      <c r="B3" s="55"/>
      <c r="C3" s="55"/>
      <c r="D3" s="67"/>
      <c r="E3" s="55"/>
      <c r="F3" s="55"/>
      <c r="G3" s="55"/>
      <c r="H3" s="55"/>
      <c r="I3" s="55"/>
      <c r="J3" s="55"/>
      <c r="K3" s="55"/>
      <c r="L3" s="69"/>
      <c r="M3" s="24"/>
    </row>
    <row r="4" spans="1:13" ht="12.75">
      <c r="A4" s="64" t="s">
        <v>2</v>
      </c>
      <c r="B4" s="55"/>
      <c r="C4" s="55"/>
      <c r="D4" s="54"/>
      <c r="E4" s="54" t="s">
        <v>109</v>
      </c>
      <c r="F4" s="55"/>
      <c r="G4" s="54" t="s">
        <v>5</v>
      </c>
      <c r="H4" s="55"/>
      <c r="I4" s="54" t="s">
        <v>125</v>
      </c>
      <c r="J4" s="54"/>
      <c r="K4" s="55"/>
      <c r="L4" s="69"/>
      <c r="M4" s="24"/>
    </row>
    <row r="5" spans="1:13" ht="12.75">
      <c r="A5" s="63"/>
      <c r="B5" s="55"/>
      <c r="C5" s="55"/>
      <c r="D5" s="55"/>
      <c r="E5" s="55"/>
      <c r="F5" s="55"/>
      <c r="G5" s="55"/>
      <c r="H5" s="55"/>
      <c r="I5" s="55"/>
      <c r="J5" s="55"/>
      <c r="K5" s="55"/>
      <c r="L5" s="69"/>
      <c r="M5" s="24"/>
    </row>
    <row r="6" spans="1:13" ht="12.75">
      <c r="A6" s="64" t="s">
        <v>3</v>
      </c>
      <c r="B6" s="55"/>
      <c r="C6" s="55"/>
      <c r="D6" s="54" t="s">
        <v>69</v>
      </c>
      <c r="E6" s="54" t="s">
        <v>110</v>
      </c>
      <c r="F6" s="55"/>
      <c r="G6" s="55"/>
      <c r="H6" s="55"/>
      <c r="I6" s="54" t="s">
        <v>126</v>
      </c>
      <c r="J6" s="54"/>
      <c r="K6" s="55"/>
      <c r="L6" s="69"/>
      <c r="M6" s="24"/>
    </row>
    <row r="7" spans="1:13" ht="12.75">
      <c r="A7" s="63"/>
      <c r="B7" s="55"/>
      <c r="C7" s="55"/>
      <c r="D7" s="55"/>
      <c r="E7" s="55"/>
      <c r="F7" s="55"/>
      <c r="G7" s="55"/>
      <c r="H7" s="55"/>
      <c r="I7" s="55"/>
      <c r="J7" s="55"/>
      <c r="K7" s="55"/>
      <c r="L7" s="69"/>
      <c r="M7" s="24"/>
    </row>
    <row r="8" spans="1:13" ht="12.75">
      <c r="A8" s="64" t="s">
        <v>4</v>
      </c>
      <c r="B8" s="55"/>
      <c r="C8" s="55"/>
      <c r="D8" s="54"/>
      <c r="E8" s="54" t="s">
        <v>111</v>
      </c>
      <c r="F8" s="55"/>
      <c r="G8" s="59">
        <v>41401</v>
      </c>
      <c r="H8" s="55"/>
      <c r="I8" s="54" t="s">
        <v>127</v>
      </c>
      <c r="J8" s="54"/>
      <c r="K8" s="55"/>
      <c r="L8" s="69"/>
      <c r="M8" s="24"/>
    </row>
    <row r="9" spans="1:13" ht="12.75">
      <c r="A9" s="65"/>
      <c r="B9" s="56"/>
      <c r="C9" s="56"/>
      <c r="D9" s="56"/>
      <c r="E9" s="56"/>
      <c r="F9" s="56"/>
      <c r="G9" s="56"/>
      <c r="H9" s="56"/>
      <c r="I9" s="56"/>
      <c r="J9" s="56"/>
      <c r="K9" s="56"/>
      <c r="L9" s="70"/>
      <c r="M9" s="24"/>
    </row>
    <row r="10" spans="1:13" ht="12.75">
      <c r="A10" s="1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17" t="s">
        <v>119</v>
      </c>
      <c r="H10" s="73" t="s">
        <v>121</v>
      </c>
      <c r="I10" s="74"/>
      <c r="J10" s="75"/>
      <c r="K10" s="73" t="s">
        <v>131</v>
      </c>
      <c r="L10" s="75"/>
      <c r="M10" s="25"/>
    </row>
    <row r="11" spans="1:24" ht="12.75">
      <c r="A11" s="2" t="s">
        <v>6</v>
      </c>
      <c r="B11" s="10" t="s">
        <v>34</v>
      </c>
      <c r="C11" s="10" t="s">
        <v>35</v>
      </c>
      <c r="D11" s="10" t="s">
        <v>70</v>
      </c>
      <c r="E11" s="10" t="s">
        <v>112</v>
      </c>
      <c r="F11" s="13" t="s">
        <v>118</v>
      </c>
      <c r="G11" s="18" t="s">
        <v>120</v>
      </c>
      <c r="H11" s="19" t="s">
        <v>122</v>
      </c>
      <c r="I11" s="20" t="s">
        <v>128</v>
      </c>
      <c r="J11" s="21" t="s">
        <v>130</v>
      </c>
      <c r="K11" s="19" t="s">
        <v>119</v>
      </c>
      <c r="L11" s="21" t="s">
        <v>130</v>
      </c>
      <c r="M11" s="25"/>
      <c r="P11" s="23" t="s">
        <v>133</v>
      </c>
      <c r="Q11" s="23" t="s">
        <v>134</v>
      </c>
      <c r="R11" s="23" t="s">
        <v>137</v>
      </c>
      <c r="S11" s="23" t="s">
        <v>138</v>
      </c>
      <c r="T11" s="23" t="s">
        <v>139</v>
      </c>
      <c r="U11" s="23" t="s">
        <v>140</v>
      </c>
      <c r="V11" s="23" t="s">
        <v>141</v>
      </c>
      <c r="W11" s="23" t="s">
        <v>142</v>
      </c>
      <c r="X11" s="23" t="s">
        <v>143</v>
      </c>
    </row>
    <row r="12" spans="1:37" ht="12.75">
      <c r="A12" s="3"/>
      <c r="B12" s="3"/>
      <c r="C12" s="11"/>
      <c r="D12" s="76" t="s">
        <v>71</v>
      </c>
      <c r="E12" s="77"/>
      <c r="F12" s="77"/>
      <c r="G12" s="77"/>
      <c r="H12" s="29">
        <f>SUM(H13:H15)</f>
        <v>0</v>
      </c>
      <c r="I12" s="29">
        <f>SUM(I13:I15)</f>
        <v>0</v>
      </c>
      <c r="J12" s="29">
        <f>H12+I12</f>
        <v>0</v>
      </c>
      <c r="K12" s="22"/>
      <c r="L12" s="29">
        <f>SUM(L13:L15)</f>
        <v>0</v>
      </c>
      <c r="P12" s="30">
        <f>IF(Q12="PR",J12,SUM(O13:O15))</f>
        <v>0</v>
      </c>
      <c r="Q12" s="23" t="s">
        <v>135</v>
      </c>
      <c r="R12" s="30">
        <f>IF(Q12="HS",H12,0)</f>
        <v>0</v>
      </c>
      <c r="S12" s="30">
        <f>IF(Q12="HS",I12-P12,0)</f>
        <v>0</v>
      </c>
      <c r="T12" s="30">
        <f>IF(Q12="PS",H12,0)</f>
        <v>0</v>
      </c>
      <c r="U12" s="30">
        <f>IF(Q12="PS",I12-P12,0)</f>
        <v>0</v>
      </c>
      <c r="V12" s="30">
        <f>IF(Q12="MP",H12,0)</f>
        <v>0</v>
      </c>
      <c r="W12" s="30">
        <f>IF(Q12="MP",I12-P12,0)</f>
        <v>0</v>
      </c>
      <c r="X12" s="30">
        <f>IF(Q12="OM",H12,0)</f>
        <v>0</v>
      </c>
      <c r="Y12" s="23"/>
      <c r="AI12" s="30">
        <f>SUM(Z13:Z15)</f>
        <v>0</v>
      </c>
      <c r="AJ12" s="30">
        <f>SUM(AA13:AA15)</f>
        <v>0</v>
      </c>
      <c r="AK12" s="30">
        <f>SUM(AB13:AB15)</f>
        <v>0</v>
      </c>
    </row>
    <row r="13" spans="1:32" ht="12.75">
      <c r="A13" s="4" t="s">
        <v>7</v>
      </c>
      <c r="B13" s="4"/>
      <c r="C13" s="4" t="s">
        <v>36</v>
      </c>
      <c r="D13" s="4" t="s">
        <v>72</v>
      </c>
      <c r="E13" s="4" t="s">
        <v>113</v>
      </c>
      <c r="F13" s="14">
        <v>86.74</v>
      </c>
      <c r="G13" s="14"/>
      <c r="H13" s="14">
        <f>ROUND(F13*AE13,2)</f>
        <v>0</v>
      </c>
      <c r="I13" s="14">
        <f>J13-H13</f>
        <v>0</v>
      </c>
      <c r="J13" s="14">
        <f>ROUND(F13*G13,2)</f>
        <v>0</v>
      </c>
      <c r="K13" s="14">
        <v>0</v>
      </c>
      <c r="L13" s="14">
        <f>F13*K13</f>
        <v>0</v>
      </c>
      <c r="N13" s="26" t="s">
        <v>11</v>
      </c>
      <c r="O13" s="14">
        <f>IF(N13="5",I13,0)</f>
        <v>0</v>
      </c>
      <c r="Z13" s="14">
        <f>IF(AD13=0,J13,0)</f>
        <v>0</v>
      </c>
      <c r="AA13" s="14">
        <f>IF(AD13=15,J13,0)</f>
        <v>0</v>
      </c>
      <c r="AB13" s="14">
        <f>IF(AD13=21,J13,0)</f>
        <v>0</v>
      </c>
      <c r="AD13" s="28">
        <v>21</v>
      </c>
      <c r="AE13" s="28">
        <f>G13*0</f>
        <v>0</v>
      </c>
      <c r="AF13" s="28">
        <f>G13*(1-0)</f>
        <v>0</v>
      </c>
    </row>
    <row r="14" spans="1:32" ht="12.75">
      <c r="A14" s="4" t="s">
        <v>8</v>
      </c>
      <c r="B14" s="4"/>
      <c r="C14" s="4" t="s">
        <v>37</v>
      </c>
      <c r="D14" s="4" t="s">
        <v>73</v>
      </c>
      <c r="E14" s="4" t="s">
        <v>113</v>
      </c>
      <c r="F14" s="14">
        <v>8.17</v>
      </c>
      <c r="G14" s="14"/>
      <c r="H14" s="14">
        <f>ROUND(F14*AE14,2)</f>
        <v>0</v>
      </c>
      <c r="I14" s="14">
        <f>J14-H14</f>
        <v>0</v>
      </c>
      <c r="J14" s="14">
        <f>ROUND(F14*G14,2)</f>
        <v>0</v>
      </c>
      <c r="K14" s="14">
        <v>0</v>
      </c>
      <c r="L14" s="14">
        <f>F14*K14</f>
        <v>0</v>
      </c>
      <c r="N14" s="26" t="s">
        <v>11</v>
      </c>
      <c r="O14" s="14">
        <f>IF(N14="5",I14,0)</f>
        <v>0</v>
      </c>
      <c r="Z14" s="14">
        <f>IF(AD14=0,J14,0)</f>
        <v>0</v>
      </c>
      <c r="AA14" s="14">
        <f>IF(AD14=15,J14,0)</f>
        <v>0</v>
      </c>
      <c r="AB14" s="14">
        <f>IF(AD14=21,J14,0)</f>
        <v>0</v>
      </c>
      <c r="AD14" s="28">
        <v>21</v>
      </c>
      <c r="AE14" s="28">
        <f>G14*0</f>
        <v>0</v>
      </c>
      <c r="AF14" s="28">
        <f>G14*(1-0)</f>
        <v>0</v>
      </c>
    </row>
    <row r="15" spans="1:32" ht="12.75">
      <c r="A15" s="4" t="s">
        <v>9</v>
      </c>
      <c r="B15" s="4"/>
      <c r="C15" s="4" t="s">
        <v>38</v>
      </c>
      <c r="D15" s="4" t="s">
        <v>74</v>
      </c>
      <c r="E15" s="4" t="s">
        <v>113</v>
      </c>
      <c r="F15" s="14">
        <v>82.44</v>
      </c>
      <c r="G15" s="14"/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</v>
      </c>
      <c r="L15" s="14">
        <f>F15*K15</f>
        <v>0</v>
      </c>
      <c r="N15" s="26" t="s">
        <v>11</v>
      </c>
      <c r="O15" s="14">
        <f>IF(N15="5",I15,0)</f>
        <v>0</v>
      </c>
      <c r="Z15" s="14">
        <f>IF(AD15=0,J15,0)</f>
        <v>0</v>
      </c>
      <c r="AA15" s="14">
        <f>IF(AD15=15,J15,0)</f>
        <v>0</v>
      </c>
      <c r="AB15" s="14">
        <f>IF(AD15=21,J15,0)</f>
        <v>0</v>
      </c>
      <c r="AD15" s="28">
        <v>21</v>
      </c>
      <c r="AE15" s="28">
        <f>G15*0</f>
        <v>0</v>
      </c>
      <c r="AF15" s="28">
        <f>G15*(1-0)</f>
        <v>0</v>
      </c>
    </row>
    <row r="16" spans="1:37" ht="12.75">
      <c r="A16" s="5"/>
      <c r="B16" s="5"/>
      <c r="C16" s="12" t="s">
        <v>17</v>
      </c>
      <c r="D16" s="71" t="s">
        <v>75</v>
      </c>
      <c r="E16" s="72"/>
      <c r="F16" s="72"/>
      <c r="G16" s="72"/>
      <c r="H16" s="30">
        <f>SUM(H17:H18)</f>
        <v>0</v>
      </c>
      <c r="I16" s="30">
        <f>SUM(I17:I18)</f>
        <v>0</v>
      </c>
      <c r="J16" s="30">
        <f>H16+I16</f>
        <v>0</v>
      </c>
      <c r="K16" s="23"/>
      <c r="L16" s="30">
        <f>SUM(L17:L18)</f>
        <v>24.982999999999997</v>
      </c>
      <c r="P16" s="30">
        <f>IF(Q16="PR",J16,SUM(O17:O18))</f>
        <v>0</v>
      </c>
      <c r="Q16" s="23" t="s">
        <v>136</v>
      </c>
      <c r="R16" s="30">
        <f>IF(Q16="HS",H16,0)</f>
        <v>0</v>
      </c>
      <c r="S16" s="30">
        <f>IF(Q16="HS",I16-P16,0)</f>
        <v>0</v>
      </c>
      <c r="T16" s="30">
        <f>IF(Q16="PS",H16,0)</f>
        <v>0</v>
      </c>
      <c r="U16" s="30">
        <f>IF(Q16="PS",I16-P16,0)</f>
        <v>0</v>
      </c>
      <c r="V16" s="30">
        <f>IF(Q16="MP",H16,0)</f>
        <v>0</v>
      </c>
      <c r="W16" s="30">
        <f>IF(Q16="MP",I16-P16,0)</f>
        <v>0</v>
      </c>
      <c r="X16" s="30">
        <f>IF(Q16="OM",H16,0)</f>
        <v>0</v>
      </c>
      <c r="Y16" s="23"/>
      <c r="AI16" s="30">
        <f>SUM(Z17:Z18)</f>
        <v>0</v>
      </c>
      <c r="AJ16" s="30">
        <f>SUM(AA17:AA18)</f>
        <v>0</v>
      </c>
      <c r="AK16" s="30">
        <f>SUM(AB17:AB18)</f>
        <v>0</v>
      </c>
    </row>
    <row r="17" spans="1:32" ht="12.75">
      <c r="A17" s="4" t="s">
        <v>10</v>
      </c>
      <c r="B17" s="4"/>
      <c r="C17" s="4" t="s">
        <v>39</v>
      </c>
      <c r="D17" s="4" t="s">
        <v>76</v>
      </c>
      <c r="E17" s="4" t="s">
        <v>114</v>
      </c>
      <c r="F17" s="14">
        <v>31.3</v>
      </c>
      <c r="G17" s="14"/>
      <c r="H17" s="14">
        <f>ROUND(F17*AE17,2)</f>
        <v>0</v>
      </c>
      <c r="I17" s="14">
        <f>J17-H17</f>
        <v>0</v>
      </c>
      <c r="J17" s="14">
        <f>ROUND(F17*G17,2)</f>
        <v>0</v>
      </c>
      <c r="K17" s="14">
        <v>0</v>
      </c>
      <c r="L17" s="14">
        <f>F17*K17</f>
        <v>0</v>
      </c>
      <c r="N17" s="26" t="s">
        <v>9</v>
      </c>
      <c r="O17" s="14">
        <f>IF(N17="5",I17,0)</f>
        <v>0</v>
      </c>
      <c r="Z17" s="14">
        <f>IF(AD17=0,J17,0)</f>
        <v>0</v>
      </c>
      <c r="AA17" s="14">
        <f>IF(AD17=15,J17,0)</f>
        <v>0</v>
      </c>
      <c r="AB17" s="14">
        <f>IF(AD17=21,J17,0)</f>
        <v>0</v>
      </c>
      <c r="AD17" s="28">
        <v>21</v>
      </c>
      <c r="AE17" s="28">
        <f>G17*0</f>
        <v>0</v>
      </c>
      <c r="AF17" s="28">
        <f>G17*(1-0)</f>
        <v>0</v>
      </c>
    </row>
    <row r="18" spans="1:32" ht="12.75">
      <c r="A18" s="4" t="s">
        <v>11</v>
      </c>
      <c r="B18" s="4"/>
      <c r="C18" s="4" t="s">
        <v>40</v>
      </c>
      <c r="D18" s="4" t="s">
        <v>77</v>
      </c>
      <c r="E18" s="4" t="s">
        <v>114</v>
      </c>
      <c r="F18" s="14">
        <v>43</v>
      </c>
      <c r="G18" s="14"/>
      <c r="H18" s="14">
        <f>ROUND(F18*AE18,2)</f>
        <v>0</v>
      </c>
      <c r="I18" s="14">
        <f>J18-H18</f>
        <v>0</v>
      </c>
      <c r="J18" s="14">
        <f>ROUND(F18*G18,2)</f>
        <v>0</v>
      </c>
      <c r="K18" s="14">
        <v>0.581</v>
      </c>
      <c r="L18" s="14">
        <f>F18*K18</f>
        <v>24.982999999999997</v>
      </c>
      <c r="N18" s="26" t="s">
        <v>9</v>
      </c>
      <c r="O18" s="14">
        <f>IF(N18="5",I18,0)</f>
        <v>0</v>
      </c>
      <c r="Z18" s="14">
        <f>IF(AD18=0,J18,0)</f>
        <v>0</v>
      </c>
      <c r="AA18" s="14">
        <f>IF(AD18=15,J18,0)</f>
        <v>0</v>
      </c>
      <c r="AB18" s="14">
        <f>IF(AD18=21,J18,0)</f>
        <v>0</v>
      </c>
      <c r="AD18" s="28">
        <v>21</v>
      </c>
      <c r="AE18" s="28">
        <f>G18*0</f>
        <v>0</v>
      </c>
      <c r="AF18" s="28">
        <f>G18*(1-0)</f>
        <v>0</v>
      </c>
    </row>
    <row r="19" spans="1:37" ht="12.75">
      <c r="A19" s="5"/>
      <c r="B19" s="5"/>
      <c r="C19" s="12" t="s">
        <v>19</v>
      </c>
      <c r="D19" s="71" t="s">
        <v>78</v>
      </c>
      <c r="E19" s="72"/>
      <c r="F19" s="72"/>
      <c r="G19" s="72"/>
      <c r="H19" s="30">
        <f>SUM(H20:H21)</f>
        <v>0</v>
      </c>
      <c r="I19" s="30">
        <f>SUM(I20:I21)</f>
        <v>0</v>
      </c>
      <c r="J19" s="30">
        <f>H19+I19</f>
        <v>0</v>
      </c>
      <c r="K19" s="23"/>
      <c r="L19" s="30">
        <f>SUM(L20:L21)</f>
        <v>0</v>
      </c>
      <c r="P19" s="30">
        <f>IF(Q19="PR",J19,SUM(O20:O21))</f>
        <v>0</v>
      </c>
      <c r="Q19" s="23" t="s">
        <v>136</v>
      </c>
      <c r="R19" s="30">
        <f>IF(Q19="HS",H19,0)</f>
        <v>0</v>
      </c>
      <c r="S19" s="30">
        <f>IF(Q19="HS",I19-P19,0)</f>
        <v>0</v>
      </c>
      <c r="T19" s="30">
        <f>IF(Q19="PS",H19,0)</f>
        <v>0</v>
      </c>
      <c r="U19" s="30">
        <f>IF(Q19="PS",I19-P19,0)</f>
        <v>0</v>
      </c>
      <c r="V19" s="30">
        <f>IF(Q19="MP",H19,0)</f>
        <v>0</v>
      </c>
      <c r="W19" s="30">
        <f>IF(Q19="MP",I19-P19,0)</f>
        <v>0</v>
      </c>
      <c r="X19" s="30">
        <f>IF(Q19="OM",H19,0)</f>
        <v>0</v>
      </c>
      <c r="Y19" s="23"/>
      <c r="AI19" s="30">
        <f>SUM(Z20:Z21)</f>
        <v>0</v>
      </c>
      <c r="AJ19" s="30">
        <f>SUM(AA20:AA21)</f>
        <v>0</v>
      </c>
      <c r="AK19" s="30">
        <f>SUM(AB20:AB21)</f>
        <v>0</v>
      </c>
    </row>
    <row r="20" spans="1:32" ht="12.75">
      <c r="A20" s="4" t="s">
        <v>12</v>
      </c>
      <c r="B20" s="4"/>
      <c r="C20" s="4" t="s">
        <v>41</v>
      </c>
      <c r="D20" s="4" t="s">
        <v>79</v>
      </c>
      <c r="E20" s="4" t="s">
        <v>115</v>
      </c>
      <c r="F20" s="14">
        <v>70.06</v>
      </c>
      <c r="G20" s="14"/>
      <c r="H20" s="14">
        <f>ROUND(F20*AE20,2)</f>
        <v>0</v>
      </c>
      <c r="I20" s="14">
        <f>J20-H20</f>
        <v>0</v>
      </c>
      <c r="J20" s="14">
        <f>ROUND(F20*G20,2)</f>
        <v>0</v>
      </c>
      <c r="K20" s="14">
        <v>0</v>
      </c>
      <c r="L20" s="14">
        <f>F20*K20</f>
        <v>0</v>
      </c>
      <c r="N20" s="26" t="s">
        <v>7</v>
      </c>
      <c r="O20" s="14">
        <f>IF(N20="5",I20,0)</f>
        <v>0</v>
      </c>
      <c r="Z20" s="14">
        <f>IF(AD20=0,J20,0)</f>
        <v>0</v>
      </c>
      <c r="AA20" s="14">
        <f>IF(AD20=15,J20,0)</f>
        <v>0</v>
      </c>
      <c r="AB20" s="14">
        <f>IF(AD20=21,J20,0)</f>
        <v>0</v>
      </c>
      <c r="AD20" s="28">
        <v>21</v>
      </c>
      <c r="AE20" s="28">
        <f>G20*0</f>
        <v>0</v>
      </c>
      <c r="AF20" s="28">
        <f>G20*(1-0)</f>
        <v>0</v>
      </c>
    </row>
    <row r="21" spans="1:32" ht="12.75">
      <c r="A21" s="4" t="s">
        <v>13</v>
      </c>
      <c r="B21" s="4"/>
      <c r="C21" s="4" t="s">
        <v>42</v>
      </c>
      <c r="D21" s="4" t="s">
        <v>80</v>
      </c>
      <c r="E21" s="4" t="s">
        <v>115</v>
      </c>
      <c r="F21" s="14">
        <v>6.77</v>
      </c>
      <c r="G21" s="14"/>
      <c r="H21" s="14">
        <f>ROUND(F21*AE21,2)</f>
        <v>0</v>
      </c>
      <c r="I21" s="14">
        <f>J21-H21</f>
        <v>0</v>
      </c>
      <c r="J21" s="14">
        <f>ROUND(F21*G21,2)</f>
        <v>0</v>
      </c>
      <c r="K21" s="14">
        <v>0</v>
      </c>
      <c r="L21" s="14">
        <f>F21*K21</f>
        <v>0</v>
      </c>
      <c r="N21" s="26" t="s">
        <v>7</v>
      </c>
      <c r="O21" s="14">
        <f>IF(N21="5",I21,0)</f>
        <v>0</v>
      </c>
      <c r="Z21" s="14">
        <f>IF(AD21=0,J21,0)</f>
        <v>0</v>
      </c>
      <c r="AA21" s="14">
        <f>IF(AD21=15,J21,0)</f>
        <v>0</v>
      </c>
      <c r="AB21" s="14">
        <f>IF(AD21=21,J21,0)</f>
        <v>0</v>
      </c>
      <c r="AD21" s="28">
        <v>21</v>
      </c>
      <c r="AE21" s="28">
        <f>G21*0</f>
        <v>0</v>
      </c>
      <c r="AF21" s="28">
        <f>G21*(1-0)</f>
        <v>0</v>
      </c>
    </row>
    <row r="22" spans="1:37" ht="12.75">
      <c r="A22" s="5"/>
      <c r="B22" s="5"/>
      <c r="C22" s="12" t="s">
        <v>27</v>
      </c>
      <c r="D22" s="71" t="s">
        <v>81</v>
      </c>
      <c r="E22" s="72"/>
      <c r="F22" s="72"/>
      <c r="G22" s="72"/>
      <c r="H22" s="30">
        <f>SUM(H23:H29)</f>
        <v>0</v>
      </c>
      <c r="I22" s="30">
        <f>SUM(I23:I29)</f>
        <v>0</v>
      </c>
      <c r="J22" s="30">
        <f>H22+I22</f>
        <v>0</v>
      </c>
      <c r="K22" s="23"/>
      <c r="L22" s="30">
        <f>SUM(L23:L29)</f>
        <v>71.97288000000002</v>
      </c>
      <c r="P22" s="30">
        <f>IF(Q22="PR",J22,SUM(O23:O29))</f>
        <v>0</v>
      </c>
      <c r="Q22" s="23" t="s">
        <v>136</v>
      </c>
      <c r="R22" s="30">
        <f>IF(Q22="HS",H22,0)</f>
        <v>0</v>
      </c>
      <c r="S22" s="30">
        <f>IF(Q22="HS",I22-P22,0)</f>
        <v>0</v>
      </c>
      <c r="T22" s="30">
        <f>IF(Q22="PS",H22,0)</f>
        <v>0</v>
      </c>
      <c r="U22" s="30">
        <f>IF(Q22="PS",I22-P22,0)</f>
        <v>0</v>
      </c>
      <c r="V22" s="30">
        <f>IF(Q22="MP",H22,0)</f>
        <v>0</v>
      </c>
      <c r="W22" s="30">
        <f>IF(Q22="MP",I22-P22,0)</f>
        <v>0</v>
      </c>
      <c r="X22" s="30">
        <f>IF(Q22="OM",H22,0)</f>
        <v>0</v>
      </c>
      <c r="Y22" s="23"/>
      <c r="AI22" s="30">
        <f>SUM(Z23:Z29)</f>
        <v>0</v>
      </c>
      <c r="AJ22" s="30">
        <f>SUM(AA23:AA29)</f>
        <v>0</v>
      </c>
      <c r="AK22" s="30">
        <f>SUM(AB23:AB29)</f>
        <v>0</v>
      </c>
    </row>
    <row r="23" spans="1:32" ht="12.75">
      <c r="A23" s="4" t="s">
        <v>14</v>
      </c>
      <c r="B23" s="4"/>
      <c r="C23" s="4" t="s">
        <v>43</v>
      </c>
      <c r="D23" s="4" t="s">
        <v>82</v>
      </c>
      <c r="E23" s="4" t="s">
        <v>116</v>
      </c>
      <c r="F23" s="14">
        <v>80</v>
      </c>
      <c r="G23" s="14"/>
      <c r="H23" s="14">
        <f aca="true" t="shared" si="0" ref="H23:H29">ROUND(F23*AE23,2)</f>
        <v>0</v>
      </c>
      <c r="I23" s="14">
        <f aca="true" t="shared" si="1" ref="I23:I29">J23-H23</f>
        <v>0</v>
      </c>
      <c r="J23" s="14">
        <f aca="true" t="shared" si="2" ref="J23:J29">ROUND(F23*G23,2)</f>
        <v>0</v>
      </c>
      <c r="K23" s="14">
        <v>0.00049</v>
      </c>
      <c r="L23" s="14">
        <f aca="true" t="shared" si="3" ref="L23:L29">F23*K23</f>
        <v>0.0392</v>
      </c>
      <c r="N23" s="26" t="s">
        <v>7</v>
      </c>
      <c r="O23" s="14">
        <f aca="true" t="shared" si="4" ref="O23:O29">IF(N23="5",I23,0)</f>
        <v>0</v>
      </c>
      <c r="Z23" s="14">
        <f aca="true" t="shared" si="5" ref="Z23:Z29">IF(AD23=0,J23,0)</f>
        <v>0</v>
      </c>
      <c r="AA23" s="14">
        <f aca="true" t="shared" si="6" ref="AA23:AA29">IF(AD23=15,J23,0)</f>
        <v>0</v>
      </c>
      <c r="AB23" s="14">
        <f aca="true" t="shared" si="7" ref="AB23:AB29">IF(AD23=21,J23,0)</f>
        <v>0</v>
      </c>
      <c r="AD23" s="28">
        <v>21</v>
      </c>
      <c r="AE23" s="28">
        <f>G23*0.5</f>
        <v>0</v>
      </c>
      <c r="AF23" s="28">
        <f>G23*(1-0.5)</f>
        <v>0</v>
      </c>
    </row>
    <row r="24" spans="1:32" ht="12.75">
      <c r="A24" s="4" t="s">
        <v>15</v>
      </c>
      <c r="B24" s="4"/>
      <c r="C24" s="4" t="s">
        <v>44</v>
      </c>
      <c r="D24" s="4" t="s">
        <v>83</v>
      </c>
      <c r="E24" s="4" t="s">
        <v>114</v>
      </c>
      <c r="F24" s="14">
        <v>150</v>
      </c>
      <c r="G24" s="14"/>
      <c r="H24" s="14">
        <f t="shared" si="0"/>
        <v>0</v>
      </c>
      <c r="I24" s="14">
        <f t="shared" si="1"/>
        <v>0</v>
      </c>
      <c r="J24" s="14">
        <f t="shared" si="2"/>
        <v>0</v>
      </c>
      <c r="K24" s="14">
        <v>0.01465</v>
      </c>
      <c r="L24" s="14">
        <f t="shared" si="3"/>
        <v>2.1975</v>
      </c>
      <c r="N24" s="26" t="s">
        <v>7</v>
      </c>
      <c r="O24" s="14">
        <f t="shared" si="4"/>
        <v>0</v>
      </c>
      <c r="Z24" s="14">
        <f t="shared" si="5"/>
        <v>0</v>
      </c>
      <c r="AA24" s="14">
        <f t="shared" si="6"/>
        <v>0</v>
      </c>
      <c r="AB24" s="14">
        <f t="shared" si="7"/>
        <v>0</v>
      </c>
      <c r="AD24" s="28">
        <v>21</v>
      </c>
      <c r="AE24" s="28">
        <f>G24*0.53125</f>
        <v>0</v>
      </c>
      <c r="AF24" s="28">
        <f>G24*(1-0.53125)</f>
        <v>0</v>
      </c>
    </row>
    <row r="25" spans="1:32" ht="12.75">
      <c r="A25" s="4" t="s">
        <v>16</v>
      </c>
      <c r="B25" s="4"/>
      <c r="C25" s="4" t="s">
        <v>45</v>
      </c>
      <c r="D25" s="4" t="s">
        <v>84</v>
      </c>
      <c r="E25" s="4" t="s">
        <v>115</v>
      </c>
      <c r="F25" s="14">
        <v>35.61</v>
      </c>
      <c r="G25" s="14"/>
      <c r="H25" s="14">
        <f t="shared" si="0"/>
        <v>0</v>
      </c>
      <c r="I25" s="14">
        <f t="shared" si="1"/>
        <v>0</v>
      </c>
      <c r="J25" s="14">
        <f t="shared" si="2"/>
        <v>0</v>
      </c>
      <c r="K25" s="14">
        <v>0</v>
      </c>
      <c r="L25" s="14">
        <f t="shared" si="3"/>
        <v>0</v>
      </c>
      <c r="N25" s="26" t="s">
        <v>9</v>
      </c>
      <c r="O25" s="14">
        <f t="shared" si="4"/>
        <v>0</v>
      </c>
      <c r="Z25" s="14">
        <f t="shared" si="5"/>
        <v>0</v>
      </c>
      <c r="AA25" s="14">
        <f t="shared" si="6"/>
        <v>0</v>
      </c>
      <c r="AB25" s="14">
        <f t="shared" si="7"/>
        <v>0</v>
      </c>
      <c r="AD25" s="28">
        <v>21</v>
      </c>
      <c r="AE25" s="28">
        <f>G25*0</f>
        <v>0</v>
      </c>
      <c r="AF25" s="28">
        <f>G25*(1-0)</f>
        <v>0</v>
      </c>
    </row>
    <row r="26" spans="1:32" ht="12.75">
      <c r="A26" s="4" t="s">
        <v>17</v>
      </c>
      <c r="B26" s="4"/>
      <c r="C26" s="4" t="s">
        <v>46</v>
      </c>
      <c r="D26" s="4" t="s">
        <v>85</v>
      </c>
      <c r="E26" s="4" t="s">
        <v>115</v>
      </c>
      <c r="F26" s="14">
        <v>41.42</v>
      </c>
      <c r="G26" s="14"/>
      <c r="H26" s="14">
        <f t="shared" si="0"/>
        <v>0</v>
      </c>
      <c r="I26" s="14">
        <f t="shared" si="1"/>
        <v>0</v>
      </c>
      <c r="J26" s="14">
        <f t="shared" si="2"/>
        <v>0</v>
      </c>
      <c r="K26" s="14">
        <v>1.665</v>
      </c>
      <c r="L26" s="14">
        <f t="shared" si="3"/>
        <v>68.96430000000001</v>
      </c>
      <c r="N26" s="26" t="s">
        <v>7</v>
      </c>
      <c r="O26" s="14">
        <f t="shared" si="4"/>
        <v>0</v>
      </c>
      <c r="Z26" s="14">
        <f t="shared" si="5"/>
        <v>0</v>
      </c>
      <c r="AA26" s="14">
        <f t="shared" si="6"/>
        <v>0</v>
      </c>
      <c r="AB26" s="14">
        <f t="shared" si="7"/>
        <v>0</v>
      </c>
      <c r="AD26" s="28">
        <v>21</v>
      </c>
      <c r="AE26" s="28">
        <f>G26*0.616438356164384</f>
        <v>0</v>
      </c>
      <c r="AF26" s="28">
        <f>G26*(1-0.616438356164384)</f>
        <v>0</v>
      </c>
    </row>
    <row r="27" spans="1:32" ht="12.75">
      <c r="A27" s="4" t="s">
        <v>18</v>
      </c>
      <c r="B27" s="4"/>
      <c r="C27" s="4" t="s">
        <v>47</v>
      </c>
      <c r="D27" s="4" t="s">
        <v>86</v>
      </c>
      <c r="E27" s="4" t="s">
        <v>114</v>
      </c>
      <c r="F27" s="14">
        <v>115</v>
      </c>
      <c r="G27" s="14"/>
      <c r="H27" s="14">
        <f t="shared" si="0"/>
        <v>0</v>
      </c>
      <c r="I27" s="14">
        <f t="shared" si="1"/>
        <v>0</v>
      </c>
      <c r="J27" s="14">
        <f t="shared" si="2"/>
        <v>0</v>
      </c>
      <c r="K27" s="14">
        <v>0.00656</v>
      </c>
      <c r="L27" s="14">
        <f t="shared" si="3"/>
        <v>0.7544</v>
      </c>
      <c r="N27" s="26" t="s">
        <v>7</v>
      </c>
      <c r="O27" s="14">
        <f t="shared" si="4"/>
        <v>0</v>
      </c>
      <c r="Z27" s="14">
        <f t="shared" si="5"/>
        <v>0</v>
      </c>
      <c r="AA27" s="14">
        <f t="shared" si="6"/>
        <v>0</v>
      </c>
      <c r="AB27" s="14">
        <f t="shared" si="7"/>
        <v>0</v>
      </c>
      <c r="AD27" s="28">
        <v>21</v>
      </c>
      <c r="AE27" s="28">
        <f>G27*0.517241379310345</f>
        <v>0</v>
      </c>
      <c r="AF27" s="28">
        <f>G27*(1-0.517241379310345)</f>
        <v>0</v>
      </c>
    </row>
    <row r="28" spans="1:32" ht="12.75">
      <c r="A28" s="4" t="s">
        <v>19</v>
      </c>
      <c r="B28" s="4"/>
      <c r="C28" s="4" t="s">
        <v>48</v>
      </c>
      <c r="D28" s="4" t="s">
        <v>87</v>
      </c>
      <c r="E28" s="4" t="s">
        <v>116</v>
      </c>
      <c r="F28" s="14">
        <v>76</v>
      </c>
      <c r="G28" s="14"/>
      <c r="H28" s="14">
        <f t="shared" si="0"/>
        <v>0</v>
      </c>
      <c r="I28" s="14">
        <f t="shared" si="1"/>
        <v>0</v>
      </c>
      <c r="J28" s="14">
        <f t="shared" si="2"/>
        <v>0</v>
      </c>
      <c r="K28" s="14">
        <v>0.00023</v>
      </c>
      <c r="L28" s="14">
        <f t="shared" si="3"/>
        <v>0.01748</v>
      </c>
      <c r="N28" s="26" t="s">
        <v>7</v>
      </c>
      <c r="O28" s="14">
        <f t="shared" si="4"/>
        <v>0</v>
      </c>
      <c r="Z28" s="14">
        <f t="shared" si="5"/>
        <v>0</v>
      </c>
      <c r="AA28" s="14">
        <f t="shared" si="6"/>
        <v>0</v>
      </c>
      <c r="AB28" s="14">
        <f t="shared" si="7"/>
        <v>0</v>
      </c>
      <c r="AD28" s="28">
        <v>21</v>
      </c>
      <c r="AE28" s="28">
        <f>G28*0.714285714285714</f>
        <v>0</v>
      </c>
      <c r="AF28" s="28">
        <f>G28*(1-0.714285714285714)</f>
        <v>0</v>
      </c>
    </row>
    <row r="29" spans="1:32" ht="12.75">
      <c r="A29" s="4" t="s">
        <v>20</v>
      </c>
      <c r="B29" s="4"/>
      <c r="C29" s="4" t="s">
        <v>49</v>
      </c>
      <c r="D29" s="4" t="s">
        <v>88</v>
      </c>
      <c r="E29" s="4" t="s">
        <v>114</v>
      </c>
      <c r="F29" s="14">
        <v>125.16</v>
      </c>
      <c r="G29" s="14"/>
      <c r="H29" s="14">
        <f t="shared" si="0"/>
        <v>0</v>
      </c>
      <c r="I29" s="14">
        <f t="shared" si="1"/>
        <v>0</v>
      </c>
      <c r="J29" s="14">
        <f t="shared" si="2"/>
        <v>0</v>
      </c>
      <c r="K29" s="14">
        <v>0</v>
      </c>
      <c r="L29" s="14">
        <f t="shared" si="3"/>
        <v>0</v>
      </c>
      <c r="N29" s="26" t="s">
        <v>7</v>
      </c>
      <c r="O29" s="14">
        <f t="shared" si="4"/>
        <v>0</v>
      </c>
      <c r="Z29" s="14">
        <f t="shared" si="5"/>
        <v>0</v>
      </c>
      <c r="AA29" s="14">
        <f t="shared" si="6"/>
        <v>0</v>
      </c>
      <c r="AB29" s="14">
        <f t="shared" si="7"/>
        <v>0</v>
      </c>
      <c r="AD29" s="28">
        <v>21</v>
      </c>
      <c r="AE29" s="28">
        <f>G29*0</f>
        <v>0</v>
      </c>
      <c r="AF29" s="28">
        <f>G29*(1-0)</f>
        <v>0</v>
      </c>
    </row>
    <row r="30" spans="1:37" ht="12.75">
      <c r="A30" s="5"/>
      <c r="B30" s="5"/>
      <c r="C30" s="12" t="s">
        <v>50</v>
      </c>
      <c r="D30" s="71" t="s">
        <v>89</v>
      </c>
      <c r="E30" s="72"/>
      <c r="F30" s="72"/>
      <c r="G30" s="72"/>
      <c r="H30" s="30">
        <f>SUM(H31:H31)</f>
        <v>0</v>
      </c>
      <c r="I30" s="30">
        <f>SUM(I31:I31)</f>
        <v>0</v>
      </c>
      <c r="J30" s="30">
        <f>H30+I30</f>
        <v>0</v>
      </c>
      <c r="K30" s="23"/>
      <c r="L30" s="30">
        <f>SUM(L31:L31)</f>
        <v>3.24</v>
      </c>
      <c r="P30" s="30">
        <f>IF(Q30="PR",J30,SUM(O31:O31))</f>
        <v>0</v>
      </c>
      <c r="Q30" s="23" t="s">
        <v>136</v>
      </c>
      <c r="R30" s="30">
        <f>IF(Q30="HS",H30,0)</f>
        <v>0</v>
      </c>
      <c r="S30" s="30">
        <f>IF(Q30="HS",I30-P30,0)</f>
        <v>0</v>
      </c>
      <c r="T30" s="30">
        <f>IF(Q30="PS",H30,0)</f>
        <v>0</v>
      </c>
      <c r="U30" s="30">
        <f>IF(Q30="PS",I30-P30,0)</f>
        <v>0</v>
      </c>
      <c r="V30" s="30">
        <f>IF(Q30="MP",H30,0)</f>
        <v>0</v>
      </c>
      <c r="W30" s="30">
        <f>IF(Q30="MP",I30-P30,0)</f>
        <v>0</v>
      </c>
      <c r="X30" s="30">
        <f>IF(Q30="OM",H30,0)</f>
        <v>0</v>
      </c>
      <c r="Y30" s="23"/>
      <c r="AI30" s="30">
        <f>SUM(Z31:Z31)</f>
        <v>0</v>
      </c>
      <c r="AJ30" s="30">
        <f>SUM(AA31:AA31)</f>
        <v>0</v>
      </c>
      <c r="AK30" s="30">
        <f>SUM(AB31:AB31)</f>
        <v>0</v>
      </c>
    </row>
    <row r="31" spans="1:32" ht="12.75">
      <c r="A31" s="4" t="s">
        <v>21</v>
      </c>
      <c r="B31" s="4"/>
      <c r="C31" s="4" t="s">
        <v>51</v>
      </c>
      <c r="D31" s="4" t="s">
        <v>90</v>
      </c>
      <c r="E31" s="4" t="s">
        <v>114</v>
      </c>
      <c r="F31" s="14">
        <v>10.8</v>
      </c>
      <c r="G31" s="14"/>
      <c r="H31" s="14">
        <f>ROUND(F31*AE31,2)</f>
        <v>0</v>
      </c>
      <c r="I31" s="14">
        <f>J31-H31</f>
        <v>0</v>
      </c>
      <c r="J31" s="14">
        <f>ROUND(F31*G31,2)</f>
        <v>0</v>
      </c>
      <c r="K31" s="14">
        <v>0.3</v>
      </c>
      <c r="L31" s="14">
        <f>F31*K31</f>
        <v>3.24</v>
      </c>
      <c r="N31" s="26" t="s">
        <v>7</v>
      </c>
      <c r="O31" s="14">
        <f>IF(N31="5",I31,0)</f>
        <v>0</v>
      </c>
      <c r="Z31" s="14">
        <f>IF(AD31=0,J31,0)</f>
        <v>0</v>
      </c>
      <c r="AA31" s="14">
        <f>IF(AD31=15,J31,0)</f>
        <v>0</v>
      </c>
      <c r="AB31" s="14">
        <f>IF(AD31=21,J31,0)</f>
        <v>0</v>
      </c>
      <c r="AD31" s="28">
        <v>21</v>
      </c>
      <c r="AE31" s="28">
        <f>G31*0.6</f>
        <v>0</v>
      </c>
      <c r="AF31" s="28">
        <f>G31*(1-0.6)</f>
        <v>0</v>
      </c>
    </row>
    <row r="32" spans="1:37" ht="12.75">
      <c r="A32" s="5"/>
      <c r="B32" s="5"/>
      <c r="C32" s="12" t="s">
        <v>52</v>
      </c>
      <c r="D32" s="71" t="s">
        <v>91</v>
      </c>
      <c r="E32" s="72"/>
      <c r="F32" s="72"/>
      <c r="G32" s="72"/>
      <c r="H32" s="30">
        <f>SUM(H33:H33)</f>
        <v>0</v>
      </c>
      <c r="I32" s="30">
        <f>SUM(I33:I33)</f>
        <v>0</v>
      </c>
      <c r="J32" s="30">
        <f>H32+I32</f>
        <v>0</v>
      </c>
      <c r="K32" s="23"/>
      <c r="L32" s="30">
        <f>SUM(L33:L33)</f>
        <v>5.46745</v>
      </c>
      <c r="P32" s="30">
        <f>IF(Q32="PR",J32,SUM(O33:O33))</f>
        <v>0</v>
      </c>
      <c r="Q32" s="23" t="s">
        <v>136</v>
      </c>
      <c r="R32" s="30">
        <f>IF(Q32="HS",H32,0)</f>
        <v>0</v>
      </c>
      <c r="S32" s="30">
        <f>IF(Q32="HS",I32-P32,0)</f>
        <v>0</v>
      </c>
      <c r="T32" s="30">
        <f>IF(Q32="PS",H32,0)</f>
        <v>0</v>
      </c>
      <c r="U32" s="30">
        <f>IF(Q32="PS",I32-P32,0)</f>
        <v>0</v>
      </c>
      <c r="V32" s="30">
        <f>IF(Q32="MP",H32,0)</f>
        <v>0</v>
      </c>
      <c r="W32" s="30">
        <f>IF(Q32="MP",I32-P32,0)</f>
        <v>0</v>
      </c>
      <c r="X32" s="30">
        <f>IF(Q32="OM",H32,0)</f>
        <v>0</v>
      </c>
      <c r="Y32" s="23"/>
      <c r="AI32" s="30">
        <f>SUM(Z33:Z33)</f>
        <v>0</v>
      </c>
      <c r="AJ32" s="30">
        <f>SUM(AA33:AA33)</f>
        <v>0</v>
      </c>
      <c r="AK32" s="30">
        <f>SUM(AB33:AB33)</f>
        <v>0</v>
      </c>
    </row>
    <row r="33" spans="1:32" ht="12.75">
      <c r="A33" s="4" t="s">
        <v>22</v>
      </c>
      <c r="B33" s="4"/>
      <c r="C33" s="4" t="s">
        <v>53</v>
      </c>
      <c r="D33" s="4" t="s">
        <v>92</v>
      </c>
      <c r="E33" s="4" t="s">
        <v>114</v>
      </c>
      <c r="F33" s="14">
        <v>43</v>
      </c>
      <c r="G33" s="14"/>
      <c r="H33" s="14">
        <f>ROUND(F33*AE33,2)</f>
        <v>0</v>
      </c>
      <c r="I33" s="14">
        <f>J33-H33</f>
        <v>0</v>
      </c>
      <c r="J33" s="14">
        <f>ROUND(F33*G33,2)</f>
        <v>0</v>
      </c>
      <c r="K33" s="14">
        <v>0.12715</v>
      </c>
      <c r="L33" s="14">
        <f>F33*K33</f>
        <v>5.46745</v>
      </c>
      <c r="N33" s="26" t="s">
        <v>7</v>
      </c>
      <c r="O33" s="14">
        <f>IF(N33="5",I33,0)</f>
        <v>0</v>
      </c>
      <c r="Z33" s="14">
        <f>IF(AD33=0,J33,0)</f>
        <v>0</v>
      </c>
      <c r="AA33" s="14">
        <f>IF(AD33=15,J33,0)</f>
        <v>0</v>
      </c>
      <c r="AB33" s="14">
        <f>IF(AD33=21,J33,0)</f>
        <v>0</v>
      </c>
      <c r="AD33" s="28">
        <v>21</v>
      </c>
      <c r="AE33" s="28">
        <f>G33*0.791448275862069</f>
        <v>0</v>
      </c>
      <c r="AF33" s="28">
        <f>G33*(1-0.791448275862069)</f>
        <v>0</v>
      </c>
    </row>
    <row r="34" spans="1:37" ht="12.75">
      <c r="A34" s="5"/>
      <c r="B34" s="5"/>
      <c r="C34" s="12" t="s">
        <v>54</v>
      </c>
      <c r="D34" s="71" t="s">
        <v>93</v>
      </c>
      <c r="E34" s="72"/>
      <c r="F34" s="72"/>
      <c r="G34" s="72"/>
      <c r="H34" s="30">
        <f>SUM(H35:H39)</f>
        <v>0</v>
      </c>
      <c r="I34" s="30">
        <f>SUM(I35:I39)</f>
        <v>0</v>
      </c>
      <c r="J34" s="30">
        <f>H34+I34</f>
        <v>0</v>
      </c>
      <c r="K34" s="23"/>
      <c r="L34" s="30">
        <f>SUM(L35:L39)</f>
        <v>6.420389999999999</v>
      </c>
      <c r="P34" s="30">
        <f>IF(Q34="PR",J34,SUM(O35:O39))</f>
        <v>0</v>
      </c>
      <c r="Q34" s="23" t="s">
        <v>136</v>
      </c>
      <c r="R34" s="30">
        <f>IF(Q34="HS",H34,0)</f>
        <v>0</v>
      </c>
      <c r="S34" s="30">
        <f>IF(Q34="HS",I34-P34,0)</f>
        <v>0</v>
      </c>
      <c r="T34" s="30">
        <f>IF(Q34="PS",H34,0)</f>
        <v>0</v>
      </c>
      <c r="U34" s="30">
        <f>IF(Q34="PS",I34-P34,0)</f>
        <v>0</v>
      </c>
      <c r="V34" s="30">
        <f>IF(Q34="MP",H34,0)</f>
        <v>0</v>
      </c>
      <c r="W34" s="30">
        <f>IF(Q34="MP",I34-P34,0)</f>
        <v>0</v>
      </c>
      <c r="X34" s="30">
        <f>IF(Q34="OM",H34,0)</f>
        <v>0</v>
      </c>
      <c r="Y34" s="23"/>
      <c r="AI34" s="30">
        <f>SUM(Z35:Z39)</f>
        <v>0</v>
      </c>
      <c r="AJ34" s="30">
        <f>SUM(AA35:AA39)</f>
        <v>0</v>
      </c>
      <c r="AK34" s="30">
        <f>SUM(AB35:AB39)</f>
        <v>0</v>
      </c>
    </row>
    <row r="35" spans="1:32" ht="12.75">
      <c r="A35" s="4" t="s">
        <v>23</v>
      </c>
      <c r="B35" s="4"/>
      <c r="C35" s="4" t="s">
        <v>55</v>
      </c>
      <c r="D35" s="4" t="s">
        <v>94</v>
      </c>
      <c r="E35" s="4" t="s">
        <v>116</v>
      </c>
      <c r="F35" s="14">
        <v>16</v>
      </c>
      <c r="G35" s="14"/>
      <c r="H35" s="14">
        <f>ROUND(F35*AE35,2)</f>
        <v>0</v>
      </c>
      <c r="I35" s="14">
        <f>J35-H35</f>
        <v>0</v>
      </c>
      <c r="J35" s="14">
        <f>ROUND(F35*G35,2)</f>
        <v>0</v>
      </c>
      <c r="K35" s="14">
        <v>0</v>
      </c>
      <c r="L35" s="14">
        <f>F35*K35</f>
        <v>0</v>
      </c>
      <c r="N35" s="26" t="s">
        <v>8</v>
      </c>
      <c r="O35" s="14">
        <f>IF(N35="5",I35,0)</f>
        <v>0</v>
      </c>
      <c r="Z35" s="14">
        <f>IF(AD35=0,J35,0)</f>
        <v>0</v>
      </c>
      <c r="AA35" s="14">
        <f>IF(AD35=15,J35,0)</f>
        <v>0</v>
      </c>
      <c r="AB35" s="14">
        <f>IF(AD35=21,J35,0)</f>
        <v>0</v>
      </c>
      <c r="AD35" s="28">
        <v>21</v>
      </c>
      <c r="AE35" s="28">
        <f>G35*0</f>
        <v>0</v>
      </c>
      <c r="AF35" s="28">
        <f>G35*(1-0)</f>
        <v>0</v>
      </c>
    </row>
    <row r="36" spans="1:32" ht="12.75">
      <c r="A36" s="4" t="s">
        <v>24</v>
      </c>
      <c r="B36" s="4"/>
      <c r="C36" s="4" t="s">
        <v>56</v>
      </c>
      <c r="D36" s="4" t="s">
        <v>95</v>
      </c>
      <c r="E36" s="4" t="s">
        <v>116</v>
      </c>
      <c r="F36" s="14">
        <v>16</v>
      </c>
      <c r="G36" s="14"/>
      <c r="H36" s="14">
        <f>ROUND(F36*AE36,2)</f>
        <v>0</v>
      </c>
      <c r="I36" s="14">
        <f>J36-H36</f>
        <v>0</v>
      </c>
      <c r="J36" s="14">
        <f>ROUND(F36*G36,2)</f>
        <v>0</v>
      </c>
      <c r="K36" s="14">
        <v>0.10598</v>
      </c>
      <c r="L36" s="14">
        <f>F36*K36</f>
        <v>1.69568</v>
      </c>
      <c r="N36" s="26" t="s">
        <v>7</v>
      </c>
      <c r="O36" s="14">
        <f>IF(N36="5",I36,0)</f>
        <v>0</v>
      </c>
      <c r="Z36" s="14">
        <f>IF(AD36=0,J36,0)</f>
        <v>0</v>
      </c>
      <c r="AA36" s="14">
        <f>IF(AD36=15,J36,0)</f>
        <v>0</v>
      </c>
      <c r="AB36" s="14">
        <f>IF(AD36=21,J36,0)</f>
        <v>0</v>
      </c>
      <c r="AD36" s="28">
        <v>21</v>
      </c>
      <c r="AE36" s="28">
        <f>G36*0.696969696969697</f>
        <v>0</v>
      </c>
      <c r="AF36" s="28">
        <f>G36*(1-0.696969696969697)</f>
        <v>0</v>
      </c>
    </row>
    <row r="37" spans="1:32" ht="12.75">
      <c r="A37" s="4" t="s">
        <v>25</v>
      </c>
      <c r="B37" s="4"/>
      <c r="C37" s="4" t="s">
        <v>56</v>
      </c>
      <c r="D37" s="4" t="s">
        <v>96</v>
      </c>
      <c r="E37" s="4" t="s">
        <v>116</v>
      </c>
      <c r="F37" s="14">
        <v>18</v>
      </c>
      <c r="G37" s="14"/>
      <c r="H37" s="14">
        <f>ROUND(F37*AE37,2)</f>
        <v>0</v>
      </c>
      <c r="I37" s="14">
        <f>J37-H37</f>
        <v>0</v>
      </c>
      <c r="J37" s="14">
        <f>ROUND(F37*G37,2)</f>
        <v>0</v>
      </c>
      <c r="K37" s="14">
        <v>0.10598</v>
      </c>
      <c r="L37" s="14">
        <f>F37*K37</f>
        <v>1.90764</v>
      </c>
      <c r="N37" s="26" t="s">
        <v>7</v>
      </c>
      <c r="O37" s="14">
        <f>IF(N37="5",I37,0)</f>
        <v>0</v>
      </c>
      <c r="Z37" s="14">
        <f>IF(AD37=0,J37,0)</f>
        <v>0</v>
      </c>
      <c r="AA37" s="14">
        <f>IF(AD37=15,J37,0)</f>
        <v>0</v>
      </c>
      <c r="AB37" s="14">
        <f>IF(AD37=21,J37,0)</f>
        <v>0</v>
      </c>
      <c r="AD37" s="28">
        <v>21</v>
      </c>
      <c r="AE37" s="28">
        <f>G37*0.696969696969697</f>
        <v>0</v>
      </c>
      <c r="AF37" s="28">
        <f>G37*(1-0.696969696969697)</f>
        <v>0</v>
      </c>
    </row>
    <row r="38" spans="1:32" ht="12.75">
      <c r="A38" s="6" t="s">
        <v>26</v>
      </c>
      <c r="B38" s="6"/>
      <c r="C38" s="6" t="s">
        <v>57</v>
      </c>
      <c r="D38" s="6" t="s">
        <v>97</v>
      </c>
      <c r="E38" s="6" t="s">
        <v>117</v>
      </c>
      <c r="F38" s="15">
        <v>18</v>
      </c>
      <c r="G38" s="15"/>
      <c r="H38" s="15">
        <f>ROUND(F38*AE38,2)</f>
        <v>0</v>
      </c>
      <c r="I38" s="15">
        <f>J38-H38</f>
        <v>0</v>
      </c>
      <c r="J38" s="15">
        <f>ROUND(F38*G38,2)</f>
        <v>0</v>
      </c>
      <c r="K38" s="15">
        <v>0.028</v>
      </c>
      <c r="L38" s="15">
        <f>F38*K38</f>
        <v>0.504</v>
      </c>
      <c r="N38" s="27" t="s">
        <v>132</v>
      </c>
      <c r="O38" s="15">
        <f>IF(N38="5",I38,0)</f>
        <v>0</v>
      </c>
      <c r="Z38" s="15">
        <f>IF(AD38=0,J38,0)</f>
        <v>0</v>
      </c>
      <c r="AA38" s="15">
        <f>IF(AD38=15,J38,0)</f>
        <v>0</v>
      </c>
      <c r="AB38" s="15">
        <f>IF(AD38=21,J38,0)</f>
        <v>0</v>
      </c>
      <c r="AD38" s="28">
        <v>21</v>
      </c>
      <c r="AE38" s="28">
        <f>G38*1</f>
        <v>0</v>
      </c>
      <c r="AF38" s="28">
        <f>G38*(1-1)</f>
        <v>0</v>
      </c>
    </row>
    <row r="39" spans="1:32" ht="12.75">
      <c r="A39" s="4" t="s">
        <v>27</v>
      </c>
      <c r="B39" s="4"/>
      <c r="C39" s="4" t="s">
        <v>58</v>
      </c>
      <c r="D39" s="4" t="s">
        <v>98</v>
      </c>
      <c r="E39" s="4" t="s">
        <v>114</v>
      </c>
      <c r="F39" s="14">
        <v>31.3</v>
      </c>
      <c r="G39" s="14"/>
      <c r="H39" s="14">
        <f>ROUND(F39*AE39,2)</f>
        <v>0</v>
      </c>
      <c r="I39" s="14">
        <f>J39-H39</f>
        <v>0</v>
      </c>
      <c r="J39" s="14">
        <f>ROUND(F39*G39,2)</f>
        <v>0</v>
      </c>
      <c r="K39" s="14">
        <v>0.0739</v>
      </c>
      <c r="L39" s="14">
        <f>F39*K39</f>
        <v>2.3130699999999997</v>
      </c>
      <c r="N39" s="26" t="s">
        <v>7</v>
      </c>
      <c r="O39" s="14">
        <f>IF(N39="5",I39,0)</f>
        <v>0</v>
      </c>
      <c r="Z39" s="14">
        <f>IF(AD39=0,J39,0)</f>
        <v>0</v>
      </c>
      <c r="AA39" s="14">
        <f>IF(AD39=15,J39,0)</f>
        <v>0</v>
      </c>
      <c r="AB39" s="14">
        <f>IF(AD39=21,J39,0)</f>
        <v>0</v>
      </c>
      <c r="AD39" s="28">
        <v>21</v>
      </c>
      <c r="AE39" s="28">
        <f>G39*0.162790697674419</f>
        <v>0</v>
      </c>
      <c r="AF39" s="28">
        <f>G39*(1-0.162790697674419)</f>
        <v>0</v>
      </c>
    </row>
    <row r="40" spans="1:37" ht="12.75">
      <c r="A40" s="5"/>
      <c r="B40" s="5"/>
      <c r="C40" s="12" t="s">
        <v>59</v>
      </c>
      <c r="D40" s="71" t="s">
        <v>99</v>
      </c>
      <c r="E40" s="72"/>
      <c r="F40" s="72"/>
      <c r="G40" s="72"/>
      <c r="H40" s="30">
        <f>SUM(H41:H44)</f>
        <v>0</v>
      </c>
      <c r="I40" s="30">
        <f>SUM(I41:I44)</f>
        <v>0</v>
      </c>
      <c r="J40" s="30">
        <f>H40+I40</f>
        <v>0</v>
      </c>
      <c r="K40" s="23"/>
      <c r="L40" s="30">
        <f>SUM(L41:L44)</f>
        <v>16.327405</v>
      </c>
      <c r="P40" s="30">
        <f>IF(Q40="PR",J40,SUM(O41:O44))</f>
        <v>0</v>
      </c>
      <c r="Q40" s="23" t="s">
        <v>136</v>
      </c>
      <c r="R40" s="30">
        <f>IF(Q40="HS",H40,0)</f>
        <v>0</v>
      </c>
      <c r="S40" s="30">
        <f>IF(Q40="HS",I40-P40,0)</f>
        <v>0</v>
      </c>
      <c r="T40" s="30">
        <f>IF(Q40="PS",H40,0)</f>
        <v>0</v>
      </c>
      <c r="U40" s="30">
        <f>IF(Q40="PS",I40-P40,0)</f>
        <v>0</v>
      </c>
      <c r="V40" s="30">
        <f>IF(Q40="MP",H40,0)</f>
        <v>0</v>
      </c>
      <c r="W40" s="30">
        <f>IF(Q40="MP",I40-P40,0)</f>
        <v>0</v>
      </c>
      <c r="X40" s="30">
        <f>IF(Q40="OM",H40,0)</f>
        <v>0</v>
      </c>
      <c r="Y40" s="23"/>
      <c r="AI40" s="30">
        <f>SUM(Z41:Z44)</f>
        <v>0</v>
      </c>
      <c r="AJ40" s="30">
        <f>SUM(AA41:AA44)</f>
        <v>0</v>
      </c>
      <c r="AK40" s="30">
        <f>SUM(AB41:AB44)</f>
        <v>0</v>
      </c>
    </row>
    <row r="41" spans="1:32" ht="12.75">
      <c r="A41" s="4" t="s">
        <v>28</v>
      </c>
      <c r="B41" s="4"/>
      <c r="C41" s="4" t="s">
        <v>60</v>
      </c>
      <c r="D41" s="4" t="s">
        <v>100</v>
      </c>
      <c r="E41" s="4" t="s">
        <v>115</v>
      </c>
      <c r="F41" s="14">
        <v>9</v>
      </c>
      <c r="G41" s="14"/>
      <c r="H41" s="14">
        <f>ROUND(F41*AE41,2)</f>
        <v>0</v>
      </c>
      <c r="I41" s="14">
        <f>J41-H41</f>
        <v>0</v>
      </c>
      <c r="J41" s="14">
        <f>ROUND(F41*G41,2)</f>
        <v>0</v>
      </c>
      <c r="K41" s="14">
        <v>1.67</v>
      </c>
      <c r="L41" s="14">
        <f>F41*K41</f>
        <v>15.03</v>
      </c>
      <c r="N41" s="26" t="s">
        <v>9</v>
      </c>
      <c r="O41" s="14">
        <f>IF(N41="5",I41,0)</f>
        <v>0</v>
      </c>
      <c r="Z41" s="14">
        <f>IF(AD41=0,J41,0)</f>
        <v>0</v>
      </c>
      <c r="AA41" s="14">
        <f>IF(AD41=15,J41,0)</f>
        <v>0</v>
      </c>
      <c r="AB41" s="14">
        <f>IF(AD41=21,J41,0)</f>
        <v>0</v>
      </c>
      <c r="AD41" s="28">
        <v>21</v>
      </c>
      <c r="AE41" s="28">
        <f>G41*0.654761904761905</f>
        <v>0</v>
      </c>
      <c r="AF41" s="28">
        <f>G41*(1-0.654761904761905)</f>
        <v>0</v>
      </c>
    </row>
    <row r="42" spans="1:32" ht="12.75">
      <c r="A42" s="4" t="s">
        <v>29</v>
      </c>
      <c r="B42" s="4"/>
      <c r="C42" s="4" t="s">
        <v>61</v>
      </c>
      <c r="D42" s="4" t="s">
        <v>101</v>
      </c>
      <c r="E42" s="4" t="s">
        <v>116</v>
      </c>
      <c r="F42" s="14">
        <v>34.5</v>
      </c>
      <c r="G42" s="14"/>
      <c r="H42" s="14">
        <f>ROUND(F42*AE42,2)</f>
        <v>0</v>
      </c>
      <c r="I42" s="14">
        <f>J42-H42</f>
        <v>0</v>
      </c>
      <c r="J42" s="14">
        <f>ROUND(F42*G42,2)</f>
        <v>0</v>
      </c>
      <c r="K42" s="14">
        <v>1E-05</v>
      </c>
      <c r="L42" s="14">
        <f>F42*K42</f>
        <v>0.00034500000000000004</v>
      </c>
      <c r="N42" s="26" t="s">
        <v>7</v>
      </c>
      <c r="O42" s="14">
        <f>IF(N42="5",I42,0)</f>
        <v>0</v>
      </c>
      <c r="Z42" s="14">
        <f>IF(AD42=0,J42,0)</f>
        <v>0</v>
      </c>
      <c r="AA42" s="14">
        <f>IF(AD42=15,J42,0)</f>
        <v>0</v>
      </c>
      <c r="AB42" s="14">
        <f>IF(AD42=21,J42,0)</f>
        <v>0</v>
      </c>
      <c r="AD42" s="28">
        <v>21</v>
      </c>
      <c r="AE42" s="28">
        <f>G42*0.62962962962963</f>
        <v>0</v>
      </c>
      <c r="AF42" s="28">
        <f>G42*(1-0.62962962962963)</f>
        <v>0</v>
      </c>
    </row>
    <row r="43" spans="1:32" ht="12.75">
      <c r="A43" s="4" t="s">
        <v>30</v>
      </c>
      <c r="B43" s="4"/>
      <c r="C43" s="4" t="s">
        <v>62</v>
      </c>
      <c r="D43" s="4" t="s">
        <v>102</v>
      </c>
      <c r="E43" s="4" t="s">
        <v>117</v>
      </c>
      <c r="F43" s="14">
        <v>4</v>
      </c>
      <c r="G43" s="14"/>
      <c r="H43" s="14">
        <f>ROUND(F43*AE43,2)</f>
        <v>0</v>
      </c>
      <c r="I43" s="14">
        <f>J43-H43</f>
        <v>0</v>
      </c>
      <c r="J43" s="14">
        <f>ROUND(F43*G43,2)</f>
        <v>0</v>
      </c>
      <c r="K43" s="14">
        <v>0.07319</v>
      </c>
      <c r="L43" s="14">
        <f>F43*K43</f>
        <v>0.29276</v>
      </c>
      <c r="N43" s="26" t="s">
        <v>7</v>
      </c>
      <c r="O43" s="14">
        <f>IF(N43="5",I43,0)</f>
        <v>0</v>
      </c>
      <c r="Z43" s="14">
        <f>IF(AD43=0,J43,0)</f>
        <v>0</v>
      </c>
      <c r="AA43" s="14">
        <f>IF(AD43=15,J43,0)</f>
        <v>0</v>
      </c>
      <c r="AB43" s="14">
        <f>IF(AD43=21,J43,0)</f>
        <v>0</v>
      </c>
      <c r="AD43" s="28">
        <v>21</v>
      </c>
      <c r="AE43" s="28">
        <f>G43*0.620689655172414</f>
        <v>0</v>
      </c>
      <c r="AF43" s="28">
        <f>G43*(1-0.620689655172414)</f>
        <v>0</v>
      </c>
    </row>
    <row r="44" spans="1:32" ht="12.75">
      <c r="A44" s="4" t="s">
        <v>31</v>
      </c>
      <c r="B44" s="4"/>
      <c r="C44" s="4" t="s">
        <v>63</v>
      </c>
      <c r="D44" s="4" t="s">
        <v>103</v>
      </c>
      <c r="E44" s="4" t="s">
        <v>117</v>
      </c>
      <c r="F44" s="14">
        <v>2</v>
      </c>
      <c r="G44" s="14"/>
      <c r="H44" s="14">
        <f>ROUND(F44*AE44,2)</f>
        <v>0</v>
      </c>
      <c r="I44" s="14">
        <f>J44-H44</f>
        <v>0</v>
      </c>
      <c r="J44" s="14">
        <f>ROUND(F44*G44,2)</f>
        <v>0</v>
      </c>
      <c r="K44" s="14">
        <v>0.50215</v>
      </c>
      <c r="L44" s="14">
        <f>F44*K44</f>
        <v>1.0043</v>
      </c>
      <c r="N44" s="26" t="s">
        <v>7</v>
      </c>
      <c r="O44" s="14">
        <f>IF(N44="5",I44,0)</f>
        <v>0</v>
      </c>
      <c r="Z44" s="14">
        <f>IF(AD44=0,J44,0)</f>
        <v>0</v>
      </c>
      <c r="AA44" s="14">
        <f>IF(AD44=15,J44,0)</f>
        <v>0</v>
      </c>
      <c r="AB44" s="14">
        <f>IF(AD44=21,J44,0)</f>
        <v>0</v>
      </c>
      <c r="AD44" s="28">
        <v>21</v>
      </c>
      <c r="AE44" s="28">
        <f>G44*0.878787878787879</f>
        <v>0</v>
      </c>
      <c r="AF44" s="28">
        <f>G44*(1-0.878787878787879)</f>
        <v>0</v>
      </c>
    </row>
    <row r="45" spans="1:37" ht="12.75">
      <c r="A45" s="5"/>
      <c r="B45" s="5"/>
      <c r="C45" s="12" t="s">
        <v>64</v>
      </c>
      <c r="D45" s="71" t="s">
        <v>104</v>
      </c>
      <c r="E45" s="72"/>
      <c r="F45" s="72"/>
      <c r="G45" s="72"/>
      <c r="H45" s="30">
        <f>SUM(H46:H46)</f>
        <v>0</v>
      </c>
      <c r="I45" s="30">
        <f>SUM(I46:I46)</f>
        <v>0</v>
      </c>
      <c r="J45" s="30">
        <f>H45+I45</f>
        <v>0</v>
      </c>
      <c r="K45" s="23"/>
      <c r="L45" s="30">
        <f>SUM(L46:L46)</f>
        <v>0.2459</v>
      </c>
      <c r="P45" s="30">
        <f>IF(Q45="PR",J45,SUM(O46:O46))</f>
        <v>0</v>
      </c>
      <c r="Q45" s="23" t="s">
        <v>136</v>
      </c>
      <c r="R45" s="30">
        <f>IF(Q45="HS",H45,0)</f>
        <v>0</v>
      </c>
      <c r="S45" s="30">
        <f>IF(Q45="HS",I45-P45,0)</f>
        <v>0</v>
      </c>
      <c r="T45" s="30">
        <f>IF(Q45="PS",H45,0)</f>
        <v>0</v>
      </c>
      <c r="U45" s="30">
        <f>IF(Q45="PS",I45-P45,0)</f>
        <v>0</v>
      </c>
      <c r="V45" s="30">
        <f>IF(Q45="MP",H45,0)</f>
        <v>0</v>
      </c>
      <c r="W45" s="30">
        <f>IF(Q45="MP",I45-P45,0)</f>
        <v>0</v>
      </c>
      <c r="X45" s="30">
        <f>IF(Q45="OM",H45,0)</f>
        <v>0</v>
      </c>
      <c r="Y45" s="23"/>
      <c r="AI45" s="30">
        <f>SUM(Z46:Z46)</f>
        <v>0</v>
      </c>
      <c r="AJ45" s="30">
        <f>SUM(AA46:AA46)</f>
        <v>0</v>
      </c>
      <c r="AK45" s="30">
        <f>SUM(AB46:AB46)</f>
        <v>0</v>
      </c>
    </row>
    <row r="46" spans="1:32" ht="12.75">
      <c r="A46" s="4" t="s">
        <v>32</v>
      </c>
      <c r="B46" s="4"/>
      <c r="C46" s="4" t="s">
        <v>65</v>
      </c>
      <c r="D46" s="4" t="s">
        <v>105</v>
      </c>
      <c r="E46" s="4" t="s">
        <v>117</v>
      </c>
      <c r="F46" s="14">
        <v>1</v>
      </c>
      <c r="G46" s="14"/>
      <c r="H46" s="14">
        <f>ROUND(F46*AE46,2)</f>
        <v>0</v>
      </c>
      <c r="I46" s="14">
        <f>J46-H46</f>
        <v>0</v>
      </c>
      <c r="J46" s="14">
        <f>ROUND(F46*G46,2)</f>
        <v>0</v>
      </c>
      <c r="K46" s="14">
        <v>0.2459</v>
      </c>
      <c r="L46" s="14">
        <f>F46*K46</f>
        <v>0.2459</v>
      </c>
      <c r="N46" s="26" t="s">
        <v>7</v>
      </c>
      <c r="O46" s="14">
        <f>IF(N46="5",I46,0)</f>
        <v>0</v>
      </c>
      <c r="Z46" s="14">
        <f>IF(AD46=0,J46,0)</f>
        <v>0</v>
      </c>
      <c r="AA46" s="14">
        <f>IF(AD46=15,J46,0)</f>
        <v>0</v>
      </c>
      <c r="AB46" s="14">
        <f>IF(AD46=21,J46,0)</f>
        <v>0</v>
      </c>
      <c r="AD46" s="28">
        <v>21</v>
      </c>
      <c r="AE46" s="28">
        <f>G46*0.498545780969479</f>
        <v>0</v>
      </c>
      <c r="AF46" s="28">
        <f>G46*(1-0.498545780969479)</f>
        <v>0</v>
      </c>
    </row>
    <row r="47" spans="1:37" ht="12.75">
      <c r="A47" s="5"/>
      <c r="B47" s="5"/>
      <c r="C47" s="12" t="s">
        <v>66</v>
      </c>
      <c r="D47" s="71" t="s">
        <v>106</v>
      </c>
      <c r="E47" s="72"/>
      <c r="F47" s="72"/>
      <c r="G47" s="72"/>
      <c r="H47" s="30">
        <f>SUM(H48:H48)</f>
        <v>0</v>
      </c>
      <c r="I47" s="30">
        <f>SUM(I48:I48)</f>
        <v>0</v>
      </c>
      <c r="J47" s="30">
        <f>H47+I47</f>
        <v>0</v>
      </c>
      <c r="K47" s="23"/>
      <c r="L47" s="30">
        <f>SUM(L48:L48)</f>
        <v>16.412000000000003</v>
      </c>
      <c r="P47" s="30">
        <f>IF(Q47="PR",J47,SUM(O48:O48))</f>
        <v>0</v>
      </c>
      <c r="Q47" s="23" t="s">
        <v>136</v>
      </c>
      <c r="R47" s="30">
        <f>IF(Q47="HS",H47,0)</f>
        <v>0</v>
      </c>
      <c r="S47" s="30">
        <f>IF(Q47="HS",I47-P47,0)</f>
        <v>0</v>
      </c>
      <c r="T47" s="30">
        <f>IF(Q47="PS",H47,0)</f>
        <v>0</v>
      </c>
      <c r="U47" s="30">
        <f>IF(Q47="PS",I47-P47,0)</f>
        <v>0</v>
      </c>
      <c r="V47" s="30">
        <f>IF(Q47="MP",H47,0)</f>
        <v>0</v>
      </c>
      <c r="W47" s="30">
        <f>IF(Q47="MP",I47-P47,0)</f>
        <v>0</v>
      </c>
      <c r="X47" s="30">
        <f>IF(Q47="OM",H47,0)</f>
        <v>0</v>
      </c>
      <c r="Y47" s="23"/>
      <c r="AI47" s="30">
        <f>SUM(Z48:Z48)</f>
        <v>0</v>
      </c>
      <c r="AJ47" s="30">
        <f>SUM(AA48:AA48)</f>
        <v>0</v>
      </c>
      <c r="AK47" s="30">
        <f>SUM(AB48:AB48)</f>
        <v>0</v>
      </c>
    </row>
    <row r="48" spans="1:32" ht="12.75">
      <c r="A48" s="7" t="s">
        <v>33</v>
      </c>
      <c r="B48" s="7"/>
      <c r="C48" s="7" t="s">
        <v>67</v>
      </c>
      <c r="D48" s="7" t="s">
        <v>107</v>
      </c>
      <c r="E48" s="7" t="s">
        <v>115</v>
      </c>
      <c r="F48" s="16">
        <v>7.46</v>
      </c>
      <c r="G48" s="16"/>
      <c r="H48" s="16">
        <f>ROUND(F48*AE48,2)</f>
        <v>0</v>
      </c>
      <c r="I48" s="16">
        <f>J48-H48</f>
        <v>0</v>
      </c>
      <c r="J48" s="16">
        <f>ROUND(F48*G48,2)</f>
        <v>0</v>
      </c>
      <c r="K48" s="16">
        <v>2.2</v>
      </c>
      <c r="L48" s="16">
        <f>F48*K48</f>
        <v>16.412000000000003</v>
      </c>
      <c r="N48" s="26" t="s">
        <v>7</v>
      </c>
      <c r="O48" s="14">
        <f>IF(N48="5",I48,0)</f>
        <v>0</v>
      </c>
      <c r="Z48" s="14">
        <f>IF(AD48=0,J48,0)</f>
        <v>0</v>
      </c>
      <c r="AA48" s="14">
        <f>IF(AD48=15,J48,0)</f>
        <v>0</v>
      </c>
      <c r="AB48" s="14">
        <f>IF(AD48=21,J48,0)</f>
        <v>0</v>
      </c>
      <c r="AD48" s="28">
        <v>21</v>
      </c>
      <c r="AE48" s="28">
        <f>G48*0</f>
        <v>0</v>
      </c>
      <c r="AF48" s="28">
        <f>G48*(1-0)</f>
        <v>0</v>
      </c>
    </row>
    <row r="49" spans="1:28" ht="12.75">
      <c r="A49" s="8"/>
      <c r="B49" s="8"/>
      <c r="C49" s="8"/>
      <c r="D49" s="8"/>
      <c r="E49" s="8"/>
      <c r="F49" s="8"/>
      <c r="G49" s="8"/>
      <c r="H49" s="66" t="s">
        <v>123</v>
      </c>
      <c r="I49" s="78"/>
      <c r="J49" s="31">
        <f>J12+J16+J19+J22+J30+J32+J34+J40+J45+J47</f>
        <v>0</v>
      </c>
      <c r="K49" s="8"/>
      <c r="L49" s="8"/>
      <c r="Z49" s="32">
        <f>SUM(Z13:Z48)</f>
        <v>0</v>
      </c>
      <c r="AA49" s="32">
        <f>SUM(AA13:AA48)</f>
        <v>0</v>
      </c>
      <c r="AB49" s="32">
        <f>SUM(AB13:AB48)</f>
        <v>0</v>
      </c>
    </row>
  </sheetData>
  <sheetProtection/>
  <mergeCells count="38">
    <mergeCell ref="H49:I49"/>
    <mergeCell ref="D30:G30"/>
    <mergeCell ref="D32:G32"/>
    <mergeCell ref="D34:G34"/>
    <mergeCell ref="D40:G40"/>
    <mergeCell ref="D45:G45"/>
    <mergeCell ref="D47:G47"/>
    <mergeCell ref="H10:J10"/>
    <mergeCell ref="K10:L10"/>
    <mergeCell ref="D12:G12"/>
    <mergeCell ref="D16:G16"/>
    <mergeCell ref="D19:G19"/>
    <mergeCell ref="D22:G22"/>
    <mergeCell ref="I2:I3"/>
    <mergeCell ref="I4:I5"/>
    <mergeCell ref="I6:I7"/>
    <mergeCell ref="I8:I9"/>
    <mergeCell ref="E4:F5"/>
    <mergeCell ref="E6:F7"/>
    <mergeCell ref="E8:F9"/>
    <mergeCell ref="G2:H3"/>
    <mergeCell ref="A8:C9"/>
    <mergeCell ref="D2:D3"/>
    <mergeCell ref="D4:D5"/>
    <mergeCell ref="J2:L3"/>
    <mergeCell ref="J4:L5"/>
    <mergeCell ref="J6:L7"/>
    <mergeCell ref="J8:L9"/>
    <mergeCell ref="A1:L1"/>
    <mergeCell ref="A2:C3"/>
    <mergeCell ref="A4:C5"/>
    <mergeCell ref="A6:C7"/>
    <mergeCell ref="D6:D7"/>
    <mergeCell ref="D8:D9"/>
    <mergeCell ref="E2:F3"/>
    <mergeCell ref="G4:H5"/>
    <mergeCell ref="G6:H7"/>
    <mergeCell ref="G8:H9"/>
  </mergeCells>
  <printOptions/>
  <pageMargins left="0.75" right="0.75" top="1" bottom="1" header="0.4921259845" footer="0.4921259845"/>
  <pageSetup fitToHeight="1" fitToWidth="1" horizontalDpi="600" verticalDpi="600" orientation="landscape" paperSize="9" scale="7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8" sqref="F8:G9"/>
    </sheetView>
  </sheetViews>
  <sheetFormatPr defaultColWidth="11.421875" defaultRowHeight="12.75"/>
  <cols>
    <col min="1" max="1" width="4.8515625" style="0" customWidth="1"/>
    <col min="2" max="2" width="7.7109375" style="0" customWidth="1"/>
    <col min="3" max="3" width="13.28125" style="0" customWidth="1"/>
    <col min="4" max="4" width="53.7109375" style="0" customWidth="1"/>
    <col min="5" max="5" width="14.28125" style="0" customWidth="1"/>
    <col min="6" max="6" width="35.7109375" style="0" customWidth="1"/>
    <col min="7" max="7" width="9.00390625" style="0" customWidth="1"/>
    <col min="8" max="8" width="18.7109375" style="0" customWidth="1"/>
  </cols>
  <sheetData>
    <row r="1" spans="1:7" ht="21.75" customHeight="1">
      <c r="A1" s="60" t="s">
        <v>144</v>
      </c>
      <c r="B1" s="61"/>
      <c r="C1" s="61"/>
      <c r="D1" s="61"/>
      <c r="E1" s="61"/>
      <c r="F1" s="61"/>
      <c r="G1" s="61"/>
    </row>
    <row r="2" spans="1:8" ht="12.75">
      <c r="A2" s="62" t="s">
        <v>1</v>
      </c>
      <c r="B2" s="58"/>
      <c r="C2" s="66" t="s">
        <v>68</v>
      </c>
      <c r="D2" s="78"/>
      <c r="E2" s="57" t="s">
        <v>124</v>
      </c>
      <c r="F2" s="57" t="s">
        <v>129</v>
      </c>
      <c r="G2" s="68"/>
      <c r="H2" s="24"/>
    </row>
    <row r="3" spans="1:8" ht="12.75">
      <c r="A3" s="63"/>
      <c r="B3" s="55"/>
      <c r="C3" s="67"/>
      <c r="D3" s="67"/>
      <c r="E3" s="55"/>
      <c r="F3" s="55"/>
      <c r="G3" s="69"/>
      <c r="H3" s="24"/>
    </row>
    <row r="4" spans="1:8" ht="12.75">
      <c r="A4" s="64" t="s">
        <v>2</v>
      </c>
      <c r="B4" s="55"/>
      <c r="C4" s="54"/>
      <c r="D4" s="55"/>
      <c r="E4" s="54" t="s">
        <v>125</v>
      </c>
      <c r="F4" s="54"/>
      <c r="G4" s="69"/>
      <c r="H4" s="24"/>
    </row>
    <row r="5" spans="1:8" ht="12.75">
      <c r="A5" s="63"/>
      <c r="B5" s="55"/>
      <c r="C5" s="55"/>
      <c r="D5" s="55"/>
      <c r="E5" s="55"/>
      <c r="F5" s="55"/>
      <c r="G5" s="69"/>
      <c r="H5" s="24"/>
    </row>
    <row r="6" spans="1:8" ht="12.75">
      <c r="A6" s="64" t="s">
        <v>3</v>
      </c>
      <c r="B6" s="55"/>
      <c r="C6" s="54" t="s">
        <v>69</v>
      </c>
      <c r="D6" s="55"/>
      <c r="E6" s="54" t="s">
        <v>126</v>
      </c>
      <c r="F6" s="54"/>
      <c r="G6" s="69"/>
      <c r="H6" s="24"/>
    </row>
    <row r="7" spans="1:8" ht="12.75">
      <c r="A7" s="63"/>
      <c r="B7" s="55"/>
      <c r="C7" s="55"/>
      <c r="D7" s="55"/>
      <c r="E7" s="55"/>
      <c r="F7" s="55"/>
      <c r="G7" s="69"/>
      <c r="H7" s="24"/>
    </row>
    <row r="8" spans="1:8" ht="12.75">
      <c r="A8" s="64" t="s">
        <v>127</v>
      </c>
      <c r="B8" s="55"/>
      <c r="C8" s="54"/>
      <c r="D8" s="55"/>
      <c r="E8" s="54" t="s">
        <v>111</v>
      </c>
      <c r="F8" s="59"/>
      <c r="G8" s="69"/>
      <c r="H8" s="24"/>
    </row>
    <row r="9" spans="1:8" ht="12.75">
      <c r="A9" s="65"/>
      <c r="B9" s="56"/>
      <c r="C9" s="56"/>
      <c r="D9" s="56"/>
      <c r="E9" s="56"/>
      <c r="F9" s="56"/>
      <c r="G9" s="70"/>
      <c r="H9" s="38"/>
    </row>
    <row r="10" spans="1:9" ht="12.75">
      <c r="A10" s="33" t="s">
        <v>6</v>
      </c>
      <c r="B10" s="35" t="s">
        <v>34</v>
      </c>
      <c r="C10" s="35" t="s">
        <v>35</v>
      </c>
      <c r="D10" s="35" t="s">
        <v>70</v>
      </c>
      <c r="E10" s="35" t="s">
        <v>112</v>
      </c>
      <c r="F10" s="35" t="s">
        <v>145</v>
      </c>
      <c r="G10" s="36" t="s">
        <v>118</v>
      </c>
      <c r="H10" s="39" t="s">
        <v>177</v>
      </c>
      <c r="I10" s="25"/>
    </row>
    <row r="11" spans="1:8" ht="12.75">
      <c r="A11" s="34" t="s">
        <v>7</v>
      </c>
      <c r="B11" s="34"/>
      <c r="C11" s="34" t="s">
        <v>36</v>
      </c>
      <c r="D11" s="34" t="s">
        <v>72</v>
      </c>
      <c r="E11" s="34" t="s">
        <v>113</v>
      </c>
      <c r="F11" s="34" t="s">
        <v>146</v>
      </c>
      <c r="G11" s="37">
        <v>86.74</v>
      </c>
      <c r="H11" s="40"/>
    </row>
    <row r="12" spans="1:7" ht="12.75">
      <c r="A12" s="4"/>
      <c r="B12" s="4"/>
      <c r="C12" s="4"/>
      <c r="D12" s="4"/>
      <c r="E12" s="4"/>
      <c r="F12" s="4" t="s">
        <v>147</v>
      </c>
      <c r="G12" s="14">
        <v>0</v>
      </c>
    </row>
    <row r="13" spans="1:7" ht="12.75">
      <c r="A13" s="4" t="s">
        <v>8</v>
      </c>
      <c r="B13" s="4"/>
      <c r="C13" s="4" t="s">
        <v>37</v>
      </c>
      <c r="D13" s="4" t="s">
        <v>73</v>
      </c>
      <c r="E13" s="4" t="s">
        <v>113</v>
      </c>
      <c r="F13" s="4" t="s">
        <v>148</v>
      </c>
      <c r="G13" s="14">
        <v>8.17</v>
      </c>
    </row>
    <row r="14" spans="1:7" ht="12.75">
      <c r="A14" s="4" t="s">
        <v>9</v>
      </c>
      <c r="B14" s="4"/>
      <c r="C14" s="4" t="s">
        <v>38</v>
      </c>
      <c r="D14" s="4" t="s">
        <v>74</v>
      </c>
      <c r="E14" s="4" t="s">
        <v>113</v>
      </c>
      <c r="F14" s="4" t="s">
        <v>146</v>
      </c>
      <c r="G14" s="14">
        <v>82.44</v>
      </c>
    </row>
    <row r="15" spans="1:7" ht="12.75">
      <c r="A15" s="4" t="s">
        <v>10</v>
      </c>
      <c r="B15" s="4"/>
      <c r="C15" s="4" t="s">
        <v>39</v>
      </c>
      <c r="D15" s="4" t="s">
        <v>76</v>
      </c>
      <c r="E15" s="4" t="s">
        <v>114</v>
      </c>
      <c r="F15" s="4" t="s">
        <v>149</v>
      </c>
      <c r="G15" s="14">
        <v>31.3</v>
      </c>
    </row>
    <row r="16" spans="1:7" ht="12.75">
      <c r="A16" s="4" t="s">
        <v>11</v>
      </c>
      <c r="B16" s="4"/>
      <c r="C16" s="4" t="s">
        <v>40</v>
      </c>
      <c r="D16" s="4" t="s">
        <v>77</v>
      </c>
      <c r="E16" s="4" t="s">
        <v>114</v>
      </c>
      <c r="F16" s="4" t="s">
        <v>150</v>
      </c>
      <c r="G16" s="14">
        <v>43</v>
      </c>
    </row>
    <row r="17" spans="1:7" ht="12.75">
      <c r="A17" s="4"/>
      <c r="B17" s="4"/>
      <c r="C17" s="4"/>
      <c r="D17" s="4"/>
      <c r="E17" s="4"/>
      <c r="F17" s="4" t="s">
        <v>151</v>
      </c>
      <c r="G17" s="14">
        <v>0</v>
      </c>
    </row>
    <row r="18" spans="1:7" ht="12.75">
      <c r="A18" s="4" t="s">
        <v>12</v>
      </c>
      <c r="B18" s="4"/>
      <c r="C18" s="4" t="s">
        <v>41</v>
      </c>
      <c r="D18" s="4" t="s">
        <v>79</v>
      </c>
      <c r="E18" s="4" t="s">
        <v>115</v>
      </c>
      <c r="F18" s="4" t="s">
        <v>152</v>
      </c>
      <c r="G18" s="14">
        <v>70.06</v>
      </c>
    </row>
    <row r="19" spans="1:7" ht="12.75">
      <c r="A19" s="4"/>
      <c r="B19" s="4"/>
      <c r="C19" s="4"/>
      <c r="D19" s="4"/>
      <c r="E19" s="4"/>
      <c r="F19" s="4" t="s">
        <v>153</v>
      </c>
      <c r="G19" s="14">
        <v>0</v>
      </c>
    </row>
    <row r="20" spans="1:7" ht="12.75">
      <c r="A20" s="4" t="s">
        <v>13</v>
      </c>
      <c r="B20" s="4"/>
      <c r="C20" s="4" t="s">
        <v>42</v>
      </c>
      <c r="D20" s="4" t="s">
        <v>80</v>
      </c>
      <c r="E20" s="4" t="s">
        <v>115</v>
      </c>
      <c r="F20" s="4" t="s">
        <v>154</v>
      </c>
      <c r="G20" s="14">
        <v>6.77</v>
      </c>
    </row>
    <row r="21" spans="1:7" ht="12.75">
      <c r="A21" s="4" t="s">
        <v>14</v>
      </c>
      <c r="B21" s="4"/>
      <c r="C21" s="4" t="s">
        <v>43</v>
      </c>
      <c r="D21" s="4" t="s">
        <v>82</v>
      </c>
      <c r="E21" s="4" t="s">
        <v>116</v>
      </c>
      <c r="F21" s="4" t="s">
        <v>155</v>
      </c>
      <c r="G21" s="14">
        <v>80</v>
      </c>
    </row>
    <row r="22" spans="1:7" ht="12.75">
      <c r="A22" s="4"/>
      <c r="B22" s="4"/>
      <c r="C22" s="4"/>
      <c r="D22" s="4"/>
      <c r="E22" s="4"/>
      <c r="F22" s="4" t="s">
        <v>156</v>
      </c>
      <c r="G22" s="14">
        <v>0</v>
      </c>
    </row>
    <row r="23" spans="1:7" ht="12.75">
      <c r="A23" s="4" t="s">
        <v>15</v>
      </c>
      <c r="B23" s="4"/>
      <c r="C23" s="4" t="s">
        <v>44</v>
      </c>
      <c r="D23" s="4" t="s">
        <v>83</v>
      </c>
      <c r="E23" s="4" t="s">
        <v>114</v>
      </c>
      <c r="F23" s="4" t="s">
        <v>157</v>
      </c>
      <c r="G23" s="14">
        <v>150</v>
      </c>
    </row>
    <row r="24" spans="1:7" ht="12.75">
      <c r="A24" s="4"/>
      <c r="B24" s="4"/>
      <c r="C24" s="4"/>
      <c r="D24" s="4"/>
      <c r="E24" s="4"/>
      <c r="F24" s="4" t="s">
        <v>158</v>
      </c>
      <c r="G24" s="14">
        <v>0</v>
      </c>
    </row>
    <row r="25" spans="1:8" ht="25.5">
      <c r="A25" s="4" t="s">
        <v>16</v>
      </c>
      <c r="B25" s="4"/>
      <c r="C25" s="4" t="s">
        <v>45</v>
      </c>
      <c r="D25" s="4" t="s">
        <v>84</v>
      </c>
      <c r="E25" s="4" t="s">
        <v>115</v>
      </c>
      <c r="F25" s="4" t="s">
        <v>159</v>
      </c>
      <c r="G25" s="14">
        <v>35.61</v>
      </c>
      <c r="H25" s="41" t="s">
        <v>178</v>
      </c>
    </row>
    <row r="26" spans="1:7" ht="12.75">
      <c r="A26" s="4"/>
      <c r="B26" s="4"/>
      <c r="C26" s="4"/>
      <c r="D26" s="4"/>
      <c r="E26" s="4"/>
      <c r="F26" s="4" t="s">
        <v>160</v>
      </c>
      <c r="G26" s="14">
        <v>0</v>
      </c>
    </row>
    <row r="27" spans="1:7" ht="12.75">
      <c r="A27" s="4"/>
      <c r="B27" s="4"/>
      <c r="C27" s="4"/>
      <c r="D27" s="4"/>
      <c r="E27" s="4"/>
      <c r="F27" s="4" t="s">
        <v>161</v>
      </c>
      <c r="G27" s="14">
        <v>0</v>
      </c>
    </row>
    <row r="28" spans="1:7" ht="12.75">
      <c r="A28" s="4" t="s">
        <v>17</v>
      </c>
      <c r="B28" s="4"/>
      <c r="C28" s="4" t="s">
        <v>46</v>
      </c>
      <c r="D28" s="4" t="s">
        <v>85</v>
      </c>
      <c r="E28" s="4" t="s">
        <v>115</v>
      </c>
      <c r="F28" s="4" t="s">
        <v>162</v>
      </c>
      <c r="G28" s="14">
        <v>41.42</v>
      </c>
    </row>
    <row r="29" spans="1:7" ht="12.75">
      <c r="A29" s="4"/>
      <c r="B29" s="4"/>
      <c r="C29" s="4"/>
      <c r="D29" s="4"/>
      <c r="E29" s="4"/>
      <c r="F29" s="4" t="s">
        <v>163</v>
      </c>
      <c r="G29" s="14">
        <v>0</v>
      </c>
    </row>
    <row r="30" spans="1:7" ht="12.75">
      <c r="A30" s="4" t="s">
        <v>18</v>
      </c>
      <c r="B30" s="4"/>
      <c r="C30" s="4" t="s">
        <v>47</v>
      </c>
      <c r="D30" s="4" t="s">
        <v>86</v>
      </c>
      <c r="E30" s="4" t="s">
        <v>114</v>
      </c>
      <c r="F30" s="4" t="s">
        <v>164</v>
      </c>
      <c r="G30" s="14">
        <v>115</v>
      </c>
    </row>
    <row r="31" spans="1:7" ht="12.75">
      <c r="A31" s="4"/>
      <c r="B31" s="4"/>
      <c r="C31" s="4"/>
      <c r="D31" s="4"/>
      <c r="E31" s="4"/>
      <c r="F31" s="4" t="s">
        <v>165</v>
      </c>
      <c r="G31" s="14">
        <v>0</v>
      </c>
    </row>
    <row r="32" spans="1:7" ht="12.75">
      <c r="A32" s="4" t="s">
        <v>19</v>
      </c>
      <c r="B32" s="4"/>
      <c r="C32" s="4" t="s">
        <v>48</v>
      </c>
      <c r="D32" s="4" t="s">
        <v>87</v>
      </c>
      <c r="E32" s="4" t="s">
        <v>116</v>
      </c>
      <c r="F32" s="4" t="s">
        <v>155</v>
      </c>
      <c r="G32" s="14">
        <v>76</v>
      </c>
    </row>
    <row r="33" spans="1:7" ht="12.75">
      <c r="A33" s="4"/>
      <c r="B33" s="4"/>
      <c r="C33" s="4"/>
      <c r="D33" s="4"/>
      <c r="E33" s="4"/>
      <c r="F33" s="4" t="s">
        <v>166</v>
      </c>
      <c r="G33" s="14">
        <v>0</v>
      </c>
    </row>
    <row r="34" spans="1:7" ht="12.75">
      <c r="A34" s="4" t="s">
        <v>20</v>
      </c>
      <c r="B34" s="4"/>
      <c r="C34" s="4" t="s">
        <v>49</v>
      </c>
      <c r="D34" s="4" t="s">
        <v>88</v>
      </c>
      <c r="E34" s="4" t="s">
        <v>114</v>
      </c>
      <c r="F34" s="4" t="s">
        <v>167</v>
      </c>
      <c r="G34" s="14">
        <v>125.16</v>
      </c>
    </row>
    <row r="35" spans="1:7" ht="12.75">
      <c r="A35" s="4"/>
      <c r="B35" s="4"/>
      <c r="C35" s="4"/>
      <c r="D35" s="4"/>
      <c r="E35" s="4"/>
      <c r="F35" s="4" t="s">
        <v>168</v>
      </c>
      <c r="G35" s="14">
        <v>0</v>
      </c>
    </row>
    <row r="36" spans="1:7" ht="12.75">
      <c r="A36" s="4" t="s">
        <v>21</v>
      </c>
      <c r="B36" s="4"/>
      <c r="C36" s="4" t="s">
        <v>51</v>
      </c>
      <c r="D36" s="4" t="s">
        <v>90</v>
      </c>
      <c r="E36" s="4" t="s">
        <v>114</v>
      </c>
      <c r="F36" s="4" t="s">
        <v>169</v>
      </c>
      <c r="G36" s="14">
        <v>10.8</v>
      </c>
    </row>
    <row r="37" spans="1:7" ht="12.75">
      <c r="A37" s="4" t="s">
        <v>22</v>
      </c>
      <c r="B37" s="4"/>
      <c r="C37" s="4" t="s">
        <v>53</v>
      </c>
      <c r="D37" s="4" t="s">
        <v>92</v>
      </c>
      <c r="E37" s="4" t="s">
        <v>114</v>
      </c>
      <c r="F37" s="4" t="s">
        <v>170</v>
      </c>
      <c r="G37" s="14">
        <v>43</v>
      </c>
    </row>
    <row r="38" spans="1:8" ht="12.75">
      <c r="A38" s="4" t="s">
        <v>23</v>
      </c>
      <c r="B38" s="4"/>
      <c r="C38" s="4" t="s">
        <v>55</v>
      </c>
      <c r="D38" s="4" t="s">
        <v>94</v>
      </c>
      <c r="E38" s="4" t="s">
        <v>116</v>
      </c>
      <c r="F38" s="4" t="s">
        <v>171</v>
      </c>
      <c r="G38" s="14">
        <v>16</v>
      </c>
      <c r="H38" s="41" t="s">
        <v>217</v>
      </c>
    </row>
    <row r="39" spans="1:7" ht="12.75">
      <c r="A39" s="4" t="s">
        <v>24</v>
      </c>
      <c r="B39" s="4"/>
      <c r="C39" s="4" t="s">
        <v>56</v>
      </c>
      <c r="D39" s="4" t="s">
        <v>95</v>
      </c>
      <c r="E39" s="4" t="s">
        <v>116</v>
      </c>
      <c r="F39" s="4" t="s">
        <v>22</v>
      </c>
      <c r="G39" s="14">
        <v>16</v>
      </c>
    </row>
    <row r="40" spans="1:7" ht="12.75">
      <c r="A40" s="4" t="s">
        <v>25</v>
      </c>
      <c r="B40" s="4"/>
      <c r="C40" s="4" t="s">
        <v>56</v>
      </c>
      <c r="D40" s="4" t="s">
        <v>96</v>
      </c>
      <c r="E40" s="4" t="s">
        <v>116</v>
      </c>
      <c r="F40" s="4" t="s">
        <v>24</v>
      </c>
      <c r="G40" s="14">
        <v>18</v>
      </c>
    </row>
    <row r="41" spans="1:7" ht="12.75">
      <c r="A41" s="6" t="s">
        <v>26</v>
      </c>
      <c r="B41" s="6"/>
      <c r="C41" s="6" t="s">
        <v>57</v>
      </c>
      <c r="D41" s="6" t="s">
        <v>97</v>
      </c>
      <c r="E41" s="6" t="s">
        <v>117</v>
      </c>
      <c r="F41" s="6" t="s">
        <v>24</v>
      </c>
      <c r="G41" s="15">
        <v>18</v>
      </c>
    </row>
    <row r="42" spans="1:7" ht="12.75">
      <c r="A42" s="4" t="s">
        <v>27</v>
      </c>
      <c r="B42" s="4"/>
      <c r="C42" s="4" t="s">
        <v>58</v>
      </c>
      <c r="D42" s="4" t="s">
        <v>98</v>
      </c>
      <c r="E42" s="4" t="s">
        <v>114</v>
      </c>
      <c r="F42" s="4" t="s">
        <v>172</v>
      </c>
      <c r="G42" s="14">
        <v>31.3</v>
      </c>
    </row>
    <row r="43" spans="1:7" ht="12.75">
      <c r="A43" s="4" t="s">
        <v>28</v>
      </c>
      <c r="B43" s="4"/>
      <c r="C43" s="4" t="s">
        <v>60</v>
      </c>
      <c r="D43" s="4" t="s">
        <v>100</v>
      </c>
      <c r="E43" s="4" t="s">
        <v>115</v>
      </c>
      <c r="F43" s="4" t="s">
        <v>173</v>
      </c>
      <c r="G43" s="14">
        <v>9</v>
      </c>
    </row>
    <row r="44" spans="1:7" ht="12.75">
      <c r="A44" s="4" t="s">
        <v>29</v>
      </c>
      <c r="B44" s="4"/>
      <c r="C44" s="4" t="s">
        <v>61</v>
      </c>
      <c r="D44" s="4" t="s">
        <v>101</v>
      </c>
      <c r="E44" s="4" t="s">
        <v>116</v>
      </c>
      <c r="F44" s="4" t="s">
        <v>174</v>
      </c>
      <c r="G44" s="14">
        <v>34.5</v>
      </c>
    </row>
    <row r="45" spans="1:7" ht="12.75">
      <c r="A45" s="4"/>
      <c r="B45" s="4"/>
      <c r="C45" s="4"/>
      <c r="D45" s="4"/>
      <c r="E45" s="4"/>
      <c r="F45" s="4" t="s">
        <v>175</v>
      </c>
      <c r="G45" s="14">
        <v>0</v>
      </c>
    </row>
    <row r="46" spans="1:7" ht="12.75">
      <c r="A46" s="4" t="s">
        <v>30</v>
      </c>
      <c r="B46" s="4"/>
      <c r="C46" s="4" t="s">
        <v>62</v>
      </c>
      <c r="D46" s="4" t="s">
        <v>102</v>
      </c>
      <c r="E46" s="4" t="s">
        <v>117</v>
      </c>
      <c r="F46" s="4" t="s">
        <v>10</v>
      </c>
      <c r="G46" s="14">
        <v>4</v>
      </c>
    </row>
    <row r="47" spans="1:7" ht="12.75">
      <c r="A47" s="4" t="s">
        <v>31</v>
      </c>
      <c r="B47" s="4"/>
      <c r="C47" s="4" t="s">
        <v>63</v>
      </c>
      <c r="D47" s="4" t="s">
        <v>103</v>
      </c>
      <c r="E47" s="4" t="s">
        <v>117</v>
      </c>
      <c r="F47" s="4" t="s">
        <v>8</v>
      </c>
      <c r="G47" s="14">
        <v>2</v>
      </c>
    </row>
    <row r="48" spans="1:7" ht="12.75">
      <c r="A48" s="4" t="s">
        <v>32</v>
      </c>
      <c r="B48" s="4"/>
      <c r="C48" s="4" t="s">
        <v>65</v>
      </c>
      <c r="D48" s="4" t="s">
        <v>105</v>
      </c>
      <c r="E48" s="4" t="s">
        <v>117</v>
      </c>
      <c r="F48" s="4"/>
      <c r="G48" s="14">
        <v>1</v>
      </c>
    </row>
    <row r="49" spans="1:8" ht="12.75">
      <c r="A49" s="4" t="s">
        <v>33</v>
      </c>
      <c r="B49" s="4"/>
      <c r="C49" s="4" t="s">
        <v>67</v>
      </c>
      <c r="D49" s="4" t="s">
        <v>107</v>
      </c>
      <c r="E49" s="4" t="s">
        <v>115</v>
      </c>
      <c r="F49" s="4" t="s">
        <v>176</v>
      </c>
      <c r="G49" s="14">
        <v>7.46</v>
      </c>
      <c r="H49" s="41" t="s">
        <v>179</v>
      </c>
    </row>
  </sheetData>
  <sheetProtection/>
  <mergeCells count="17">
    <mergeCell ref="E8:E9"/>
    <mergeCell ref="F2:G3"/>
    <mergeCell ref="F4:G5"/>
    <mergeCell ref="F6:G7"/>
    <mergeCell ref="F8:G9"/>
    <mergeCell ref="A1:G1"/>
    <mergeCell ref="A2:B3"/>
    <mergeCell ref="A4:B5"/>
    <mergeCell ref="A6:B7"/>
    <mergeCell ref="E2:E3"/>
    <mergeCell ref="E4:E5"/>
    <mergeCell ref="E6:E7"/>
    <mergeCell ref="A8:B9"/>
    <mergeCell ref="C2:D3"/>
    <mergeCell ref="C4:D5"/>
    <mergeCell ref="C6:D7"/>
    <mergeCell ref="C8:D9"/>
  </mergeCells>
  <printOptions/>
  <pageMargins left="0.75" right="0.75" top="1" bottom="1" header="0.4921259845" footer="0.4921259845"/>
  <pageSetup horizontalDpi="600" verticalDpi="600" orientation="landscape" paperSize="9" scale="5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10" sqref="F10:G11"/>
    </sheetView>
  </sheetViews>
  <sheetFormatPr defaultColWidth="11.421875" defaultRowHeight="12.75"/>
  <cols>
    <col min="1" max="1" width="9.140625" style="0" customWidth="1"/>
    <col min="2" max="2" width="13.5742187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6.140625" style="0" customWidth="1"/>
    <col min="9" max="9" width="26.00390625" style="0" customWidth="1"/>
  </cols>
  <sheetData>
    <row r="1" spans="1:9" ht="28.5" customHeight="1">
      <c r="A1" s="53" t="s">
        <v>180</v>
      </c>
      <c r="B1" s="81"/>
      <c r="C1" s="81"/>
      <c r="D1" s="81"/>
      <c r="E1" s="81"/>
      <c r="F1" s="81"/>
      <c r="G1" s="81"/>
      <c r="H1" s="81"/>
      <c r="I1" s="81"/>
    </row>
    <row r="2" spans="1:10" ht="12.75">
      <c r="A2" s="62" t="s">
        <v>1</v>
      </c>
      <c r="B2" s="58"/>
      <c r="C2" s="66" t="s">
        <v>68</v>
      </c>
      <c r="D2" s="78"/>
      <c r="E2" s="57" t="s">
        <v>124</v>
      </c>
      <c r="F2" s="57" t="s">
        <v>129</v>
      </c>
      <c r="G2" s="58"/>
      <c r="H2" s="57" t="s">
        <v>213</v>
      </c>
      <c r="I2" s="86"/>
      <c r="J2" s="24"/>
    </row>
    <row r="3" spans="1:10" ht="12.75">
      <c r="A3" s="63"/>
      <c r="B3" s="55"/>
      <c r="C3" s="67"/>
      <c r="D3" s="67"/>
      <c r="E3" s="55"/>
      <c r="F3" s="55"/>
      <c r="G3" s="55"/>
      <c r="H3" s="55"/>
      <c r="I3" s="69"/>
      <c r="J3" s="24"/>
    </row>
    <row r="4" spans="1:10" ht="12.75">
      <c r="A4" s="64" t="s">
        <v>2</v>
      </c>
      <c r="B4" s="55"/>
      <c r="C4" s="54"/>
      <c r="D4" s="55"/>
      <c r="E4" s="54" t="s">
        <v>125</v>
      </c>
      <c r="F4" s="54"/>
      <c r="G4" s="55"/>
      <c r="H4" s="54" t="s">
        <v>213</v>
      </c>
      <c r="I4" s="87"/>
      <c r="J4" s="24"/>
    </row>
    <row r="5" spans="1:10" ht="12.75">
      <c r="A5" s="63"/>
      <c r="B5" s="55"/>
      <c r="C5" s="55"/>
      <c r="D5" s="55"/>
      <c r="E5" s="55"/>
      <c r="F5" s="55"/>
      <c r="G5" s="55"/>
      <c r="H5" s="55"/>
      <c r="I5" s="69"/>
      <c r="J5" s="24"/>
    </row>
    <row r="6" spans="1:10" ht="12.75">
      <c r="A6" s="64" t="s">
        <v>3</v>
      </c>
      <c r="B6" s="55"/>
      <c r="C6" s="54" t="s">
        <v>69</v>
      </c>
      <c r="D6" s="55"/>
      <c r="E6" s="54" t="s">
        <v>126</v>
      </c>
      <c r="F6" s="54"/>
      <c r="G6" s="55"/>
      <c r="H6" s="54" t="s">
        <v>213</v>
      </c>
      <c r="I6" s="87"/>
      <c r="J6" s="24"/>
    </row>
    <row r="7" spans="1:10" ht="12.75">
      <c r="A7" s="63"/>
      <c r="B7" s="55"/>
      <c r="C7" s="55"/>
      <c r="D7" s="55"/>
      <c r="E7" s="55"/>
      <c r="F7" s="55"/>
      <c r="G7" s="55"/>
      <c r="H7" s="55"/>
      <c r="I7" s="69"/>
      <c r="J7" s="24"/>
    </row>
    <row r="8" spans="1:10" ht="12.75">
      <c r="A8" s="64" t="s">
        <v>109</v>
      </c>
      <c r="B8" s="55"/>
      <c r="C8" s="54" t="s">
        <v>5</v>
      </c>
      <c r="D8" s="55"/>
      <c r="E8" s="54" t="s">
        <v>110</v>
      </c>
      <c r="F8" s="55"/>
      <c r="G8" s="55"/>
      <c r="H8" s="54" t="s">
        <v>214</v>
      </c>
      <c r="I8" s="87" t="s">
        <v>33</v>
      </c>
      <c r="J8" s="24"/>
    </row>
    <row r="9" spans="1:10" ht="12.75">
      <c r="A9" s="63"/>
      <c r="B9" s="55"/>
      <c r="C9" s="55"/>
      <c r="D9" s="55"/>
      <c r="E9" s="55"/>
      <c r="F9" s="55"/>
      <c r="G9" s="55"/>
      <c r="H9" s="55"/>
      <c r="I9" s="69"/>
      <c r="J9" s="24"/>
    </row>
    <row r="10" spans="1:10" ht="12.75">
      <c r="A10" s="64" t="s">
        <v>4</v>
      </c>
      <c r="B10" s="55"/>
      <c r="C10" s="54"/>
      <c r="D10" s="55"/>
      <c r="E10" s="54" t="s">
        <v>127</v>
      </c>
      <c r="F10" s="54"/>
      <c r="G10" s="55"/>
      <c r="H10" s="54" t="s">
        <v>215</v>
      </c>
      <c r="I10" s="82"/>
      <c r="J10" s="24"/>
    </row>
    <row r="11" spans="1:10" ht="12.75">
      <c r="A11" s="79"/>
      <c r="B11" s="80"/>
      <c r="C11" s="80"/>
      <c r="D11" s="80"/>
      <c r="E11" s="80"/>
      <c r="F11" s="80"/>
      <c r="G11" s="80"/>
      <c r="H11" s="80"/>
      <c r="I11" s="83"/>
      <c r="J11" s="24"/>
    </row>
    <row r="12" spans="1:9" ht="23.25" customHeight="1">
      <c r="A12" s="84" t="s">
        <v>181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42" t="s">
        <v>182</v>
      </c>
      <c r="B13" s="90" t="s">
        <v>194</v>
      </c>
      <c r="C13" s="91"/>
      <c r="D13" s="42" t="s">
        <v>196</v>
      </c>
      <c r="E13" s="90" t="s">
        <v>201</v>
      </c>
      <c r="F13" s="91"/>
      <c r="G13" s="42" t="s">
        <v>202</v>
      </c>
      <c r="H13" s="90" t="s">
        <v>216</v>
      </c>
      <c r="I13" s="91"/>
      <c r="J13" s="24"/>
    </row>
    <row r="14" spans="1:10" ht="15" customHeight="1">
      <c r="A14" s="43" t="s">
        <v>183</v>
      </c>
      <c r="B14" s="47" t="s">
        <v>195</v>
      </c>
      <c r="C14" s="50">
        <f>SUM('Stavební rozpočet'!R12:R48)</f>
        <v>0</v>
      </c>
      <c r="D14" s="88"/>
      <c r="E14" s="89"/>
      <c r="F14" s="50">
        <v>0</v>
      </c>
      <c r="G14" s="88" t="s">
        <v>203</v>
      </c>
      <c r="H14" s="89"/>
      <c r="I14" s="50">
        <v>0</v>
      </c>
      <c r="J14" s="24"/>
    </row>
    <row r="15" spans="1:10" ht="15" customHeight="1">
      <c r="A15" s="44"/>
      <c r="B15" s="47" t="s">
        <v>128</v>
      </c>
      <c r="C15" s="50">
        <f>SUM('Stavební rozpočet'!S12:S48)</f>
        <v>0</v>
      </c>
      <c r="D15" s="88"/>
      <c r="E15" s="89"/>
      <c r="F15" s="50">
        <v>0</v>
      </c>
      <c r="G15" s="88" t="s">
        <v>204</v>
      </c>
      <c r="H15" s="89"/>
      <c r="I15" s="50">
        <v>0</v>
      </c>
      <c r="J15" s="24"/>
    </row>
    <row r="16" spans="1:10" ht="15" customHeight="1">
      <c r="A16" s="43" t="s">
        <v>184</v>
      </c>
      <c r="B16" s="47" t="s">
        <v>195</v>
      </c>
      <c r="C16" s="50">
        <f>SUM('Stavební rozpočet'!T12:T48)</f>
        <v>0</v>
      </c>
      <c r="D16" s="88"/>
      <c r="E16" s="89"/>
      <c r="F16" s="50">
        <v>0</v>
      </c>
      <c r="G16" s="88" t="s">
        <v>205</v>
      </c>
      <c r="H16" s="89"/>
      <c r="I16" s="50">
        <v>0</v>
      </c>
      <c r="J16" s="24"/>
    </row>
    <row r="17" spans="1:10" ht="15" customHeight="1">
      <c r="A17" s="44"/>
      <c r="B17" s="47" t="s">
        <v>128</v>
      </c>
      <c r="C17" s="50">
        <f>SUM('Stavební rozpočet'!U12:U48)</f>
        <v>0</v>
      </c>
      <c r="D17" s="88"/>
      <c r="E17" s="89"/>
      <c r="F17" s="51"/>
      <c r="G17" s="88" t="s">
        <v>206</v>
      </c>
      <c r="H17" s="89"/>
      <c r="I17" s="50">
        <v>0</v>
      </c>
      <c r="J17" s="24"/>
    </row>
    <row r="18" spans="1:10" ht="15" customHeight="1">
      <c r="A18" s="43" t="s">
        <v>185</v>
      </c>
      <c r="B18" s="47" t="s">
        <v>195</v>
      </c>
      <c r="C18" s="50">
        <f>SUM('Stavební rozpočet'!V12:V48)</f>
        <v>0</v>
      </c>
      <c r="D18" s="88"/>
      <c r="E18" s="89"/>
      <c r="F18" s="51"/>
      <c r="G18" s="88" t="s">
        <v>207</v>
      </c>
      <c r="H18" s="89"/>
      <c r="I18" s="50">
        <v>0</v>
      </c>
      <c r="J18" s="24"/>
    </row>
    <row r="19" spans="1:10" ht="15" customHeight="1">
      <c r="A19" s="44"/>
      <c r="B19" s="47" t="s">
        <v>128</v>
      </c>
      <c r="C19" s="50">
        <f>SUM('Stavební rozpočet'!W12:W48)</f>
        <v>0</v>
      </c>
      <c r="D19" s="88"/>
      <c r="E19" s="89"/>
      <c r="F19" s="51"/>
      <c r="G19" s="88" t="s">
        <v>208</v>
      </c>
      <c r="H19" s="89"/>
      <c r="I19" s="50">
        <v>0</v>
      </c>
      <c r="J19" s="24"/>
    </row>
    <row r="20" spans="1:10" ht="15" customHeight="1">
      <c r="A20" s="94" t="s">
        <v>186</v>
      </c>
      <c r="B20" s="95"/>
      <c r="C20" s="50">
        <f>SUM('Stavební rozpočet'!X12:X48)</f>
        <v>0</v>
      </c>
      <c r="D20" s="88"/>
      <c r="E20" s="89"/>
      <c r="F20" s="51"/>
      <c r="G20" s="88"/>
      <c r="H20" s="89"/>
      <c r="I20" s="51"/>
      <c r="J20" s="24"/>
    </row>
    <row r="21" spans="1:10" ht="15" customHeight="1">
      <c r="A21" s="94" t="s">
        <v>187</v>
      </c>
      <c r="B21" s="95"/>
      <c r="C21" s="50">
        <f>SUM('Stavební rozpočet'!P12:P48)</f>
        <v>0</v>
      </c>
      <c r="D21" s="88"/>
      <c r="E21" s="89"/>
      <c r="F21" s="51"/>
      <c r="G21" s="88"/>
      <c r="H21" s="89"/>
      <c r="I21" s="51"/>
      <c r="J21" s="24"/>
    </row>
    <row r="22" spans="1:10" ht="16.5" customHeight="1">
      <c r="A22" s="94" t="s">
        <v>188</v>
      </c>
      <c r="B22" s="95"/>
      <c r="C22" s="50">
        <f>SUM(C14:C21)</f>
        <v>0</v>
      </c>
      <c r="D22" s="94" t="s">
        <v>197</v>
      </c>
      <c r="E22" s="95"/>
      <c r="F22" s="50">
        <f>SUM(F14:F21)</f>
        <v>0</v>
      </c>
      <c r="G22" s="94" t="s">
        <v>209</v>
      </c>
      <c r="H22" s="95"/>
      <c r="I22" s="50">
        <f>SUM(I14:I21)</f>
        <v>0</v>
      </c>
      <c r="J22" s="24"/>
    </row>
    <row r="23" spans="1:9" ht="12.75">
      <c r="A23" s="45"/>
      <c r="B23" s="45"/>
      <c r="C23" s="45"/>
      <c r="D23" s="8"/>
      <c r="E23" s="8"/>
      <c r="F23" s="8"/>
      <c r="G23" s="8"/>
      <c r="H23" s="8"/>
      <c r="I23" s="8"/>
    </row>
    <row r="24" spans="1:9" ht="15" customHeight="1">
      <c r="A24" s="92" t="s">
        <v>189</v>
      </c>
      <c r="B24" s="93"/>
      <c r="C24" s="52">
        <f>ROUND(SUM('Stavební rozpočet'!Z12:Z48),-1)</f>
        <v>0</v>
      </c>
      <c r="D24" s="48"/>
      <c r="E24" s="49"/>
      <c r="F24" s="49"/>
      <c r="G24" s="49"/>
      <c r="H24" s="49"/>
      <c r="I24" s="49"/>
    </row>
    <row r="25" spans="1:10" ht="15" customHeight="1">
      <c r="A25" s="92" t="s">
        <v>190</v>
      </c>
      <c r="B25" s="93"/>
      <c r="C25" s="52">
        <f>ROUND(SUM('Stavební rozpočet'!AA12:AA48),-1)</f>
        <v>0</v>
      </c>
      <c r="D25" s="92" t="s">
        <v>198</v>
      </c>
      <c r="E25" s="93"/>
      <c r="F25" s="52">
        <f>ROUND(C25*(15/100),2)</f>
        <v>0</v>
      </c>
      <c r="G25" s="92" t="s">
        <v>210</v>
      </c>
      <c r="H25" s="93"/>
      <c r="I25" s="52">
        <f>SUM(C24:C26)</f>
        <v>0</v>
      </c>
      <c r="J25" s="24"/>
    </row>
    <row r="26" spans="1:10" ht="15" customHeight="1">
      <c r="A26" s="92" t="s">
        <v>191</v>
      </c>
      <c r="B26" s="93"/>
      <c r="C26" s="52">
        <f>ROUND(SUM('Stavební rozpočet'!AB12:AB48)+(F22+I22),-1)</f>
        <v>0</v>
      </c>
      <c r="D26" s="92" t="s">
        <v>199</v>
      </c>
      <c r="E26" s="93"/>
      <c r="F26" s="52">
        <f>ROUND(C26*(21/100),2)</f>
        <v>0</v>
      </c>
      <c r="G26" s="92" t="s">
        <v>211</v>
      </c>
      <c r="H26" s="93"/>
      <c r="I26" s="52">
        <f>ROUND(SUM(F25:F26)+I25,-1)</f>
        <v>0</v>
      </c>
      <c r="J26" s="24"/>
    </row>
    <row r="27" spans="1:9" ht="12.75">
      <c r="A27" s="46"/>
      <c r="B27" s="46"/>
      <c r="C27" s="46"/>
      <c r="D27" s="46"/>
      <c r="E27" s="46"/>
      <c r="F27" s="46"/>
      <c r="G27" s="46"/>
      <c r="H27" s="46"/>
      <c r="I27" s="46"/>
    </row>
    <row r="28" spans="1:10" ht="14.25" customHeight="1">
      <c r="A28" s="96" t="s">
        <v>192</v>
      </c>
      <c r="B28" s="97"/>
      <c r="C28" s="98"/>
      <c r="D28" s="96" t="s">
        <v>200</v>
      </c>
      <c r="E28" s="97"/>
      <c r="F28" s="98"/>
      <c r="G28" s="96" t="s">
        <v>212</v>
      </c>
      <c r="H28" s="97"/>
      <c r="I28" s="98"/>
      <c r="J28" s="25"/>
    </row>
    <row r="29" spans="1:10" ht="14.25" customHeight="1">
      <c r="A29" s="102"/>
      <c r="B29" s="103"/>
      <c r="C29" s="104"/>
      <c r="D29" s="102"/>
      <c r="E29" s="103"/>
      <c r="F29" s="104"/>
      <c r="G29" s="102"/>
      <c r="H29" s="103"/>
      <c r="I29" s="104"/>
      <c r="J29" s="25"/>
    </row>
    <row r="30" spans="1:10" ht="14.25" customHeight="1">
      <c r="A30" s="102"/>
      <c r="B30" s="103"/>
      <c r="C30" s="104"/>
      <c r="D30" s="102"/>
      <c r="E30" s="103"/>
      <c r="F30" s="104"/>
      <c r="G30" s="102"/>
      <c r="H30" s="103"/>
      <c r="I30" s="104"/>
      <c r="J30" s="25"/>
    </row>
    <row r="31" spans="1:10" ht="14.25" customHeight="1">
      <c r="A31" s="102"/>
      <c r="B31" s="103"/>
      <c r="C31" s="104"/>
      <c r="D31" s="102"/>
      <c r="E31" s="103"/>
      <c r="F31" s="104"/>
      <c r="G31" s="102"/>
      <c r="H31" s="103"/>
      <c r="I31" s="104"/>
      <c r="J31" s="25"/>
    </row>
    <row r="32" spans="1:10" ht="14.25" customHeight="1">
      <c r="A32" s="99" t="s">
        <v>193</v>
      </c>
      <c r="B32" s="100"/>
      <c r="C32" s="101"/>
      <c r="D32" s="99" t="s">
        <v>193</v>
      </c>
      <c r="E32" s="100"/>
      <c r="F32" s="101"/>
      <c r="G32" s="99" t="s">
        <v>193</v>
      </c>
      <c r="H32" s="100"/>
      <c r="I32" s="101"/>
      <c r="J32" s="25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31:C31"/>
    <mergeCell ref="A32:C32"/>
    <mergeCell ref="G29:I29"/>
    <mergeCell ref="G30:I30"/>
    <mergeCell ref="G31:I31"/>
    <mergeCell ref="G32:I32"/>
    <mergeCell ref="D32:F32"/>
    <mergeCell ref="A26:B26"/>
    <mergeCell ref="D25:E25"/>
    <mergeCell ref="D26:E26"/>
    <mergeCell ref="D28:F28"/>
    <mergeCell ref="D29:F29"/>
    <mergeCell ref="D30:F30"/>
    <mergeCell ref="D31:F31"/>
    <mergeCell ref="A29:C29"/>
    <mergeCell ref="A30:C30"/>
    <mergeCell ref="G25:H25"/>
    <mergeCell ref="G26:H26"/>
    <mergeCell ref="A28:C28"/>
    <mergeCell ref="G28:I28"/>
    <mergeCell ref="A25:B25"/>
    <mergeCell ref="D18:E18"/>
    <mergeCell ref="D19:E19"/>
    <mergeCell ref="D20:E20"/>
    <mergeCell ref="D21:E21"/>
    <mergeCell ref="D22:E22"/>
    <mergeCell ref="A20:B20"/>
    <mergeCell ref="A21:B21"/>
    <mergeCell ref="A22:B22"/>
    <mergeCell ref="G15:H15"/>
    <mergeCell ref="G16:H16"/>
    <mergeCell ref="G17:H17"/>
    <mergeCell ref="A24:B24"/>
    <mergeCell ref="G19:H19"/>
    <mergeCell ref="G20:H20"/>
    <mergeCell ref="G21:H21"/>
    <mergeCell ref="G22:H22"/>
    <mergeCell ref="I8:I9"/>
    <mergeCell ref="G18:H18"/>
    <mergeCell ref="B13:C13"/>
    <mergeCell ref="E13:F13"/>
    <mergeCell ref="H13:I13"/>
    <mergeCell ref="D14:E14"/>
    <mergeCell ref="D15:E15"/>
    <mergeCell ref="D16:E16"/>
    <mergeCell ref="D17:E17"/>
    <mergeCell ref="G14:H14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I2:I3"/>
    <mergeCell ref="I4:I5"/>
    <mergeCell ref="I6:I7"/>
    <mergeCell ref="A8:B9"/>
    <mergeCell ref="A10:B11"/>
    <mergeCell ref="C2:D3"/>
    <mergeCell ref="C4:D5"/>
    <mergeCell ref="C6:D7"/>
    <mergeCell ref="C8:D9"/>
  </mergeCells>
  <printOptions/>
  <pageMargins left="0.75" right="0.75" top="1" bottom="1" header="0.4921259845" footer="0.49212598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Karin Kadlubcová</cp:lastModifiedBy>
  <cp:lastPrinted>2013-05-10T08:33:13Z</cp:lastPrinted>
  <dcterms:created xsi:type="dcterms:W3CDTF">2013-05-10T08:38:34Z</dcterms:created>
  <dcterms:modified xsi:type="dcterms:W3CDTF">2013-05-21T07:51:55Z</dcterms:modified>
  <cp:category/>
  <cp:version/>
  <cp:contentType/>
  <cp:contentStatus/>
</cp:coreProperties>
</file>