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Rozpočet - Skupiny a položky" sheetId="2" r:id="rId2"/>
    <sheet name="Stavební rozpočet - součet" sheetId="3" r:id="rId3"/>
    <sheet name="Výkaz výměr" sheetId="4" r:id="rId4"/>
    <sheet name="Krycí list rozpočtu" sheetId="5" r:id="rId5"/>
  </sheets>
  <definedNames/>
  <calcPr fullCalcOnLoad="1"/>
</workbook>
</file>

<file path=xl/sharedStrings.xml><?xml version="1.0" encoding="utf-8"?>
<sst xmlns="http://schemas.openxmlformats.org/spreadsheetml/2006/main" count="1343" uniqueCount="342">
  <si>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</si>
  <si>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</si>
  <si>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</si>
  <si>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</si>
  <si>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</si>
  <si>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</si>
  <si>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</si>
  <si>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</si>
  <si>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</si>
  <si>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</si>
  <si>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</si>
  <si>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</si>
  <si>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</si>
  <si>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</si>
  <si>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</si>
  <si>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</si>
  <si>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</si>
  <si>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</si>
  <si>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</si>
  <si>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</si>
  <si>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</si>
  <si>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</si>
  <si>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</si>
  <si>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</si>
  <si>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</si>
  <si>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</si>
  <si>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</si>
  <si>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</si>
  <si>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</si>
  <si>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</si>
  <si>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</si>
  <si>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</si>
  <si>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</si>
  <si>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</si>
  <si>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</si>
  <si>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</si>
  <si>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</si>
  <si>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</si>
  <si>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</si>
  <si>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</si>
  <si>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</si>
  <si>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</si>
  <si>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</si>
  <si>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</si>
  <si>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</si>
  <si>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</si>
  <si>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</si>
  <si>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</si>
  <si>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</si>
  <si>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</si>
  <si>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</si>
  <si>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</si>
  <si>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</si>
  <si>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</si>
  <si>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</si>
  <si>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</si>
  <si>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</si>
  <si>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</si>
  <si>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</si>
  <si>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Poznámka:</t>
  </si>
  <si>
    <t>Objekt</t>
  </si>
  <si>
    <t>Kód</t>
  </si>
  <si>
    <t>113106003RAC</t>
  </si>
  <si>
    <t>460030102R00</t>
  </si>
  <si>
    <t>120901121R00</t>
  </si>
  <si>
    <t>122101401R00</t>
  </si>
  <si>
    <t>311271170R00</t>
  </si>
  <si>
    <t>457971121R00</t>
  </si>
  <si>
    <t>56</t>
  </si>
  <si>
    <t>564811111R00</t>
  </si>
  <si>
    <t>564831111R00</t>
  </si>
  <si>
    <t>564801111R00</t>
  </si>
  <si>
    <t>564551111R00</t>
  </si>
  <si>
    <t>602011183R00</t>
  </si>
  <si>
    <t>61</t>
  </si>
  <si>
    <t>612441241R00</t>
  </si>
  <si>
    <t>62</t>
  </si>
  <si>
    <t>622300131R00</t>
  </si>
  <si>
    <t>63</t>
  </si>
  <si>
    <t>632921913R00</t>
  </si>
  <si>
    <t>632921911R00</t>
  </si>
  <si>
    <t>711</t>
  </si>
  <si>
    <t>711132311R00</t>
  </si>
  <si>
    <t>764</t>
  </si>
  <si>
    <t>764900050RA0</t>
  </si>
  <si>
    <t>55342211</t>
  </si>
  <si>
    <t>764410291R00</t>
  </si>
  <si>
    <t>766</t>
  </si>
  <si>
    <t>766629302R00</t>
  </si>
  <si>
    <t>766629303R00</t>
  </si>
  <si>
    <t>766629304R00</t>
  </si>
  <si>
    <t>60775302</t>
  </si>
  <si>
    <t>767</t>
  </si>
  <si>
    <t>767996801R00</t>
  </si>
  <si>
    <t>767995104R00</t>
  </si>
  <si>
    <t>783</t>
  </si>
  <si>
    <t>783101811R00</t>
  </si>
  <si>
    <t>783124120R00</t>
  </si>
  <si>
    <t>784</t>
  </si>
  <si>
    <t>784442021R00</t>
  </si>
  <si>
    <t>91</t>
  </si>
  <si>
    <t>916531111R00</t>
  </si>
  <si>
    <t>96</t>
  </si>
  <si>
    <t>968072247R00</t>
  </si>
  <si>
    <t>968061112R00</t>
  </si>
  <si>
    <t>968062244R00</t>
  </si>
  <si>
    <t>968061125R00</t>
  </si>
  <si>
    <t>968072456R00</t>
  </si>
  <si>
    <t>968095001R00</t>
  </si>
  <si>
    <t>97</t>
  </si>
  <si>
    <t>971035561R00</t>
  </si>
  <si>
    <t>S</t>
  </si>
  <si>
    <t>979087113R00</t>
  </si>
  <si>
    <t>979081111R00</t>
  </si>
  <si>
    <t>979081121R00</t>
  </si>
  <si>
    <t>979990107R00</t>
  </si>
  <si>
    <t>61143836</t>
  </si>
  <si>
    <t>61143090</t>
  </si>
  <si>
    <t>61143846</t>
  </si>
  <si>
    <t>61143790.A</t>
  </si>
  <si>
    <t>28355286</t>
  </si>
  <si>
    <t>59217504</t>
  </si>
  <si>
    <t>69366197</t>
  </si>
  <si>
    <t>58333665</t>
  </si>
  <si>
    <t>Stavební úpravy objektu p.č.349</t>
  </si>
  <si>
    <t>Jablunkov</t>
  </si>
  <si>
    <t>Zkrácený popis / Varianta</t>
  </si>
  <si>
    <t>Rozměry</t>
  </si>
  <si>
    <t>Přípravné a přidružené práce</t>
  </si>
  <si>
    <t>Rozebrání beton.dlažby a podkladu do tl. 23cm, pl.do 200 m2</t>
  </si>
  <si>
    <t>bez nakládání a odvozu na skládku</t>
  </si>
  <si>
    <t>Vytrhání obrubníků, lože MC, stojatých</t>
  </si>
  <si>
    <t>Odkopávky a prokopávky</t>
  </si>
  <si>
    <t>Bourání konstrukcí z prostého betonu</t>
  </si>
  <si>
    <t>Vykopávky v zemníku v hor. 2 do 100 m3</t>
  </si>
  <si>
    <t>Zdi podpěrné a volné</t>
  </si>
  <si>
    <t>Dozdívky z porobetonových tvárnic hladkých tl. 30 cm D+M</t>
  </si>
  <si>
    <t>Podkladní a vedlejší konstrukce (kromě vozovek a železničního svršku)</t>
  </si>
  <si>
    <t>Zřízení vrstvy z geotextilie do 1:1,5, š. do 3 m</t>
  </si>
  <si>
    <t>Podkladní vrstvy komunikací a zpevněných ploch</t>
  </si>
  <si>
    <t>Podklad ze štěrkodrti  fr.8-16, po zhutnění tloušťky 5 cm, D+M</t>
  </si>
  <si>
    <t>Podklad ze štěrkodrti fr. 16-32mm po zhutnění tloušťky 10 cm, D+M</t>
  </si>
  <si>
    <t>Podklad ze štěrkodrti fr. 2-5mm, po zhutnění tloušťky 3 cm, D+M</t>
  </si>
  <si>
    <t>Zřízení podsypu/podkladu z kačírku tl. 15 cm</t>
  </si>
  <si>
    <t>Úpravy povrchů,podlahy a osazování výplní otvorů</t>
  </si>
  <si>
    <t>Omítka stěn tenkovrstvá silikátová bílá, hladká D+M</t>
  </si>
  <si>
    <t>Úprava povrchů vnitřní</t>
  </si>
  <si>
    <t>Oprava sádrových omítek stěn do 10 % opr.plochy, D+M</t>
  </si>
  <si>
    <t>Úprava povrchů</t>
  </si>
  <si>
    <t>Vyrovnání parapetů pomocí MC tl. do 20 mm  D+M</t>
  </si>
  <si>
    <t>Podlahy a podlahové konstrukce</t>
  </si>
  <si>
    <t>Dlažba z dlaždic betonových 50x50cm, tl. 50 mm, včetně spárování pískem, D+M</t>
  </si>
  <si>
    <t>Dlažba z dlaždic betonových 30x30, tl. 35 mm, včetně spárování pískem, D+M</t>
  </si>
  <si>
    <t>Izolace proti vodě</t>
  </si>
  <si>
    <t>Prov. izolace nopovou fólií svisle, vč.uchyc.prvků a krycí lišty</t>
  </si>
  <si>
    <t>Konstrukce klempířské</t>
  </si>
  <si>
    <t>Demontáž oplechování parapetů</t>
  </si>
  <si>
    <t>Parapet vnější ohýbaný pozink tl. 0,75mm š = 280mm, včetně bočních krytek, barva: hnědá</t>
  </si>
  <si>
    <t>Montáž oplechování parapetů FeZn</t>
  </si>
  <si>
    <t>Konstrukce truhlářské</t>
  </si>
  <si>
    <t>Montáž oken plastových plochy do 2,70 m2, včetně montáže těsnících okenních pásek, včetně zapěnění spár PU pěnou, včetně podkladního profilu</t>
  </si>
  <si>
    <t>Montáž oken plastových plochy do 4,50 m2, včetně montáže okenních těsnících pásek, včetně zapěnění spár PU pěnou, včetně podkladního profilu</t>
  </si>
  <si>
    <t>Montáž dveří plastových, vchodových, dvoukřídlových, včetně instalace těsnících pásek, včetně zapěnění spár PU pěnou</t>
  </si>
  <si>
    <t>Parapet interiér DTD, Postforming šíře 200 mm  s nosem, bílý, včetně bočních krytek</t>
  </si>
  <si>
    <t>Konstrukce doplňkové stavební (zámečnické)</t>
  </si>
  <si>
    <t>Demontáž atypických ocelových konstr. zamřížování oken do 50 kg</t>
  </si>
  <si>
    <t>zpětná montáž kov. atypických konstr. zamřížování oken do 50 kg</t>
  </si>
  <si>
    <t>Výroba a montáž kov. atypických konstr. zamřížování okna do 50 kg</t>
  </si>
  <si>
    <t>Nátěry</t>
  </si>
  <si>
    <t>Odstranění nátěrů z ocel.konstrukcí zamřížování oken a dveří</t>
  </si>
  <si>
    <t>Nátěr syntetický OK zamřížování oken a dveří "B" dvojnásobný D+M</t>
  </si>
  <si>
    <t>Malby</t>
  </si>
  <si>
    <t>Malba disperzní interiérová, výška do 3,8 m</t>
  </si>
  <si>
    <t>Doplňující konstrukce a práce na pozemních komunikacích a zpevněných plochách</t>
  </si>
  <si>
    <t>Osazení obrubníků do lože z C12/15</t>
  </si>
  <si>
    <t>Bourání konstrukcí</t>
  </si>
  <si>
    <t>Vybourání kovových rámů oken jednod. nad 4 m2</t>
  </si>
  <si>
    <t>Vyvěšení dřevěných okenních křídel pl. do 1,5 m2</t>
  </si>
  <si>
    <t>Vybourání dřevěných rámů oken jednoduch. pl. 1 m2</t>
  </si>
  <si>
    <t>Vyvěšení dřevěných dveřních křídel pl. do 2 m2</t>
  </si>
  <si>
    <t>Vybourání kovových dveřních zárubní pl. nad 2 m2</t>
  </si>
  <si>
    <t>Bourání parapetů dřevěných š. do 25 cm</t>
  </si>
  <si>
    <t>Prorážení otvorů a ostatní bourací práce</t>
  </si>
  <si>
    <t>Vybourání otv. zeď cihel. pl. 1 m2, tl. 60 cm, MC</t>
  </si>
  <si>
    <t>Přesuny sutí</t>
  </si>
  <si>
    <t>Nakládání vybouraných hmot na dopravní prostředky</t>
  </si>
  <si>
    <t>Odvoz suti a vybour. hmot na skládku do 1 km</t>
  </si>
  <si>
    <t>Příplatek k odvozu za každý další 1 km, cílová skládka Třinec</t>
  </si>
  <si>
    <t>Poplatek za skládku suti - směs betonu,cihel,dřeva</t>
  </si>
  <si>
    <t>Ostatní materiál</t>
  </si>
  <si>
    <t>Okno O1 plastové dvoukřídlé 143 x 175 cm , bílé</t>
  </si>
  <si>
    <t>Okno O2  plastové dvoukřídlé 144 x 175 cm, bílé</t>
  </si>
  <si>
    <t>Okno O3 plastové dvoukřídlé 146 x 175 cm, bílé</t>
  </si>
  <si>
    <t>Okno O4 plastové dvoukřídlé 174 x 175 cm, bílé</t>
  </si>
  <si>
    <t>Okno O5 plastové jednokřídlé 147 x 175 cm, bílé, bezpečnostní zasklení</t>
  </si>
  <si>
    <t>Okno O6 plastové dvoukřídlé 240 x 150 cm O+OS bílé, bezpečnostní zasklení</t>
  </si>
  <si>
    <t>Dveře D1 vchodové plast  1350x2000 otevíravé, dvoukřídlové</t>
  </si>
  <si>
    <t>Páska okenní parotěsná</t>
  </si>
  <si>
    <t>Obrubník betonový 100x10x25 cm</t>
  </si>
  <si>
    <t>Geotextilie 200 g/m2</t>
  </si>
  <si>
    <t>Kamenivo  těžené frakce 16-32 kačírek praný  VL</t>
  </si>
  <si>
    <t>Doba výstavby:</t>
  </si>
  <si>
    <t>Začátek výstavby:</t>
  </si>
  <si>
    <t>Konec výstavby:</t>
  </si>
  <si>
    <t>Zpracováno dne:</t>
  </si>
  <si>
    <t>M.j.</t>
  </si>
  <si>
    <t>m2</t>
  </si>
  <si>
    <t>m</t>
  </si>
  <si>
    <t>m3</t>
  </si>
  <si>
    <t xml:space="preserve"> m2</t>
  </si>
  <si>
    <t>kus</t>
  </si>
  <si>
    <t>kg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</si>
  <si>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</si>
  <si>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</si>
  <si>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</si>
  <si>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</si>
  <si>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</si>
  <si>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</si>
  <si>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</si>
  <si>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</si>
  <si>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</si>
  <si>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</si>
  <si>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</si>
  <si>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</si>
  <si>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Město Jablunkov, Dukelská 144, 739 91</t>
  </si>
  <si>
    <t>nodum atelier-na,s.r.o., Náadražní 50, 739 91 Jabl</t>
  </si>
  <si>
    <t>Ing. arch. Marek Pyszko</t>
  </si>
  <si>
    <t>Celkem</t>
  </si>
  <si>
    <t>Hmotnost (t)</t>
  </si>
  <si>
    <t>Cenová</t>
  </si>
  <si>
    <t>soustava</t>
  </si>
  <si>
    <t>RTS I / 2013</t>
  </si>
  <si>
    <t>0</t>
  </si>
  <si>
    <t>Přesuny</t>
  </si>
  <si>
    <t>Typ skupiny</t>
  </si>
  <si>
    <t>HS</t>
  </si>
  <si>
    <t>PS</t>
  </si>
  <si>
    <t>PR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</si>
  <si>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</si>
  <si>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</si>
  <si>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</si>
  <si>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</si>
  <si>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</si>
  <si>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</si>
  <si>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</si>
  <si>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</si>
  <si>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71</t>
  </si>
  <si>
    <t>76</t>
  </si>
  <si>
    <t>78</t>
  </si>
  <si>
    <t>Zemní práce</t>
  </si>
  <si>
    <t>Svislé a kompletní konstrukce</t>
  </si>
  <si>
    <t>Vodorovné konstrukce</t>
  </si>
  <si>
    <t>Komunikace</t>
  </si>
  <si>
    <t>Úpravy povrchů a osazování výplní otvorů</t>
  </si>
  <si>
    <t>Izolace</t>
  </si>
  <si>
    <t>Konstrukce</t>
  </si>
  <si>
    <t>Dokončovací práce</t>
  </si>
  <si>
    <t>Dokončovací práce, demolice</t>
  </si>
  <si>
    <t>Stavební rozpočet - rekapitulace</t>
  </si>
  <si>
    <t>Zkrácený popis</t>
  </si>
  <si>
    <t>Náklady (Kč) - dodávka</t>
  </si>
  <si>
    <t>Náklady (Kč) - Montáž</t>
  </si>
  <si>
    <t>Náklady (Kč) - celkem</t>
  </si>
  <si>
    <t>Celková hmotnost (t)</t>
  </si>
  <si>
    <t>F</t>
  </si>
  <si>
    <t>Výkaz výměr</t>
  </si>
  <si>
    <t>29,7+5,31+8</t>
  </si>
  <si>
    <t>18,9</t>
  </si>
  <si>
    <t>14,2*0,3</t>
  </si>
  <si>
    <t>14,3*0,23+9,9*0,23</t>
  </si>
  <si>
    <t>3,9+5,9</t>
  </si>
  <si>
    <t>0,5*19,25</t>
  </si>
  <si>
    <t>(3,84+5,8)*1,2</t>
  </si>
  <si>
    <t>0,15*(14*1,75+2*2)</t>
  </si>
  <si>
    <t>(1,43+1,44+1,46+1,74+1,47*2+2*2,68+1,35)*0,15</t>
  </si>
  <si>
    <t>(2*(0,87+1,46+1,44+1,43+3,24+5,66))*0,2</t>
  </si>
  <si>
    <t>18,92+10,82+3</t>
  </si>
  <si>
    <t>30,25+6</t>
  </si>
  <si>
    <t>65,56*0,45</t>
  </si>
  <si>
    <t>0,87+1,46+1,44+1,43</t>
  </si>
  <si>
    <t>1,43+1,44+1,46+1,74+1,47+1,47+2,68+2,68</t>
  </si>
  <si>
    <t>100</t>
  </si>
  <si>
    <t>1,35*2</t>
  </si>
  <si>
    <t>6,53+18,92+0,7+19,95+1,4+0,7+5,4+1,4+1,38+7,93</t>
  </si>
  <si>
    <t>3,24*2,68+5,66*2,68</t>
  </si>
  <si>
    <t>1+1+1+1</t>
  </si>
  <si>
    <t>0,87*0,88+1,46*0,68+1,44*0,68+1,43*0,67</t>
  </si>
  <si>
    <t>1+1+1</t>
  </si>
  <si>
    <t>1,35*2+0,9*2</t>
  </si>
  <si>
    <t>1,254</t>
  </si>
  <si>
    <t>4.7311+1.7388+0.6816+8.35+0.0094+0.8109+0.02+0.1517+0.015+0.1482+0.2835+0.0026+2.4375</t>
  </si>
  <si>
    <t>4.7311+1.7388+0.6816+8.35+0.0094+0.8109+0.002+0.1517+0.015+0.1482+0.2835+0.0026+2.4375</t>
  </si>
  <si>
    <t>1   Okno - O1</t>
  </si>
  <si>
    <t>1   Okno - O2</t>
  </si>
  <si>
    <t>1   Okno - O3</t>
  </si>
  <si>
    <t>2   Okno O5</t>
  </si>
  <si>
    <t>2   Okno - O6</t>
  </si>
  <si>
    <t>2*(1,43+1,75+1,44+1,75+1,46+1,75+1,74+1,75+1,47+1,75+1,47+1,75+2,68+1,75+2,68+1,75)   interiér</t>
  </si>
  <si>
    <t>2*(1,43+1,75+1,44+1,75+1,46+1,75+1,74+1,75+1,47+1,75+1,47+1,75+2,68+1,75+2,68+1,75)   exteriér</t>
  </si>
  <si>
    <t>0,5*19,25*0,15</t>
  </si>
  <si>
    <t>Cenová soustava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</si>
  <si>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</si>
  <si>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</si>
  <si>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</si>
  <si>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</si>
  <si>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</si>
  <si>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</si>
  <si>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</si>
  <si>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</si>
  <si>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</si>
  <si>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</si>
  <si>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</si>
  <si>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</si>
  <si>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</si>
  <si>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</si>
  <si>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</si>
  <si>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</si>
  <si>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</si>
  <si>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</si>
  <si>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</si>
  <si>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</si>
  <si>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</si>
  <si>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</si>
  <si>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</si>
  <si>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</si>
  <si>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</si>
  <si>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</si>
  <si>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</si>
  <si>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</si>
  <si>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</si>
  <si>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</si>
  <si>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</si>
  <si>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</si>
  <si>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</si>
  <si>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</si>
  <si>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</si>
  <si>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</si>
  <si>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</si>
  <si>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</si>
  <si>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</si>
  <si>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00296759/CZ00296759</t>
  </si>
  <si>
    <t>29462525/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</si>
</sst>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3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18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49" fontId="1" fillId="2" borderId="7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2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3" fillId="2" borderId="7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8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3" fillId="2" borderId="7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8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2" borderId="7" xfId="0" applyNumberFormat="1" applyFont="1" applyFill="1" applyBorder="1" applyAlignment="1" applyProtection="1">
      <alignment horizontal="right" vertical="center"/>
      <protection/>
    </xf>
    <xf numFmtId="49" fontId="3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3" fillId="2" borderId="7" xfId="0" applyNumberFormat="1" applyFont="1" applyFill="1" applyBorder="1" applyAlignment="1" applyProtection="1">
      <alignment horizontal="right" vertical="center"/>
      <protection/>
    </xf>
    <xf numFmtId="4" fontId="3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8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7" xfId="0" applyNumberFormat="1" applyFont="1" applyFill="1" applyBorder="1" applyAlignment="1" applyProtection="1">
      <alignment horizontal="right" vertical="center"/>
      <protection/>
    </xf>
    <xf numFmtId="49" fontId="4" fillId="0" borderId="7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28" xfId="0" applyNumberFormat="1" applyFont="1" applyFill="1" applyBorder="1" applyAlignment="1" applyProtection="1">
      <alignment horizontal="right" vertical="center"/>
      <protection/>
    </xf>
    <xf numFmtId="4" fontId="4" fillId="0" borderId="7" xfId="0" applyNumberFormat="1" applyFont="1" applyFill="1" applyBorder="1" applyAlignment="1" applyProtection="1">
      <alignment horizontal="right" vertical="center"/>
      <protection/>
    </xf>
    <xf numFmtId="49" fontId="4" fillId="0" borderId="7" xfId="0" applyNumberFormat="1" applyFont="1" applyFill="1" applyBorder="1" applyAlignment="1" applyProtection="1">
      <alignment horizontal="right" vertical="center"/>
      <protection/>
    </xf>
    <xf numFmtId="49" fontId="7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49" fontId="8" fillId="0" borderId="30" xfId="0" applyNumberFormat="1" applyFont="1" applyFill="1" applyBorder="1" applyAlignment="1" applyProtection="1">
      <alignment horizontal="center" vertical="center"/>
      <protection/>
    </xf>
    <xf numFmtId="49" fontId="9" fillId="2" borderId="31" xfId="0" applyNumberFormat="1" applyFont="1" applyFill="1" applyBorder="1" applyAlignment="1" applyProtection="1">
      <alignment horizontal="center" vertical="center"/>
      <protection/>
    </xf>
    <xf numFmtId="49" fontId="10" fillId="0" borderId="32" xfId="0" applyNumberFormat="1" applyFont="1" applyFill="1" applyBorder="1" applyAlignment="1" applyProtection="1">
      <alignment horizontal="left" vertical="center"/>
      <protection/>
    </xf>
    <xf numFmtId="49" fontId="10" fillId="0" borderId="33" xfId="0" applyNumberFormat="1" applyFont="1" applyFill="1" applyBorder="1" applyAlignment="1" applyProtection="1">
      <alignment horizontal="left" vertical="center"/>
      <protection/>
    </xf>
    <xf numFmtId="49" fontId="10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9" fontId="10" fillId="2" borderId="34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9" fontId="11" fillId="0" borderId="36" xfId="0" applyNumberFormat="1" applyFont="1" applyFill="1" applyBorder="1" applyAlignment="1" applyProtection="1">
      <alignment horizontal="left" vertical="center"/>
      <protection/>
    </xf>
    <xf numFmtId="49" fontId="11" fillId="0" borderId="25" xfId="0" applyNumberFormat="1" applyFont="1" applyFill="1" applyBorder="1" applyAlignment="1" applyProtection="1">
      <alignment horizontal="left" vertical="center"/>
      <protection/>
    </xf>
    <xf numFmtId="49" fontId="11" fillId="0" borderId="37" xfId="0" applyNumberFormat="1" applyFont="1" applyFill="1" applyBorder="1" applyAlignment="1" applyProtection="1">
      <alignment horizontal="left" vertical="center"/>
      <protection/>
    </xf>
    <xf numFmtId="49" fontId="6" fillId="0" borderId="7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49" fontId="12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31" xfId="0" applyNumberFormat="1" applyFont="1" applyFill="1" applyBorder="1" applyAlignment="1" applyProtection="1">
      <alignment horizontal="left" vertical="center"/>
      <protection/>
    </xf>
    <xf numFmtId="0" fontId="10" fillId="0" borderId="38" xfId="0" applyNumberFormat="1" applyFont="1" applyFill="1" applyBorder="1" applyAlignment="1" applyProtection="1">
      <alignment horizontal="left" vertical="center"/>
      <protection/>
    </xf>
    <xf numFmtId="0" fontId="10" fillId="2" borderId="30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9" xfId="0" applyNumberFormat="1" applyFont="1" applyFill="1" applyBorder="1" applyAlignment="1" applyProtection="1">
      <alignment horizontal="left" vertical="center"/>
      <protection/>
    </xf>
    <xf numFmtId="0" fontId="12" fillId="0" borderId="38" xfId="0" applyNumberFormat="1" applyFont="1" applyFill="1" applyBorder="1" applyAlignment="1" applyProtection="1">
      <alignment horizontal="left" vertical="center"/>
      <protection/>
    </xf>
    <xf numFmtId="0" fontId="11" fillId="0" borderId="31" xfId="0" applyNumberFormat="1" applyFont="1" applyFill="1" applyBorder="1" applyAlignment="1" applyProtection="1">
      <alignment horizontal="right" vertical="center"/>
      <protection/>
    </xf>
    <xf numFmtId="0" fontId="10" fillId="2" borderId="38" xfId="0" applyNumberFormat="1" applyFont="1" applyFill="1" applyBorder="1" applyAlignment="1" applyProtection="1">
      <alignment horizontal="right" vertical="center"/>
      <protection/>
    </xf>
    <xf numFmtId="0" fontId="11" fillId="0" borderId="39" xfId="0" applyNumberFormat="1" applyFont="1" applyFill="1" applyBorder="1" applyAlignment="1" applyProtection="1">
      <alignment horizontal="left" vertical="center"/>
      <protection/>
    </xf>
    <xf numFmtId="0" fontId="11" fillId="0" borderId="40" xfId="0" applyNumberFormat="1" applyFont="1" applyFill="1" applyBorder="1" applyAlignment="1" applyProtection="1">
      <alignment horizontal="left" vertical="center"/>
      <protection/>
    </xf>
    <xf numFmtId="0" fontId="11" fillId="0" borderId="41" xfId="0" applyNumberFormat="1" applyFont="1" applyFill="1" applyBorder="1" applyAlignment="1" applyProtection="1">
      <alignment horizontal="left" vertical="center"/>
      <protection/>
    </xf>
    <xf numFmtId="49" fontId="1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1" fillId="0" borderId="38" xfId="0" applyNumberFormat="1" applyFont="1" applyFill="1" applyBorder="1" applyAlignment="1" applyProtection="1">
      <alignment horizontal="left" vertical="center"/>
      <protection/>
    </xf>
    <xf numFmtId="49" fontId="11" fillId="0" borderId="31" xfId="0" applyNumberFormat="1" applyFont="1" applyFill="1" applyBorder="1" applyAlignment="1" applyProtection="1">
      <alignment horizontal="right"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14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80"/>
      <rgbColor rgb="000000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7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3.7109375" customWidth="1"/>
    <col min="2" max="2" width="6.8515625" customWidth="1"/>
    <col min="3" max="3" width="13.28125" customWidth="1"/>
    <col min="4" max="4" width="133.8515625" customWidth="1"/>
    <col min="5" max="5" width="4.28125" customWidth="1"/>
    <col min="6" max="6" width="10.8515625" customWidth="1"/>
    <col min="7" max="7" width="12.00390625" customWidth="1"/>
    <col min="8" max="10" width="14.28125" customWidth="1"/>
    <col min="11" max="13" width="11.7109375" customWidth="1"/>
    <col min="14" max="37" width="12.140625" hidden="1" customWidth="1"/>
  </cols>
  <sheetData>
    <row r="1" spans="1:13" ht="21.75" customHeight="1">
      <c r="A1" s="2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ht="12.75">
      <c r="A2" s="3" t="s">
        <v>1</v>
      </c>
      <c r="B2" s="18"/>
      <c r="C2" s="18"/>
      <c r="D2" s="25" t="s">
        <v>124</v>
      </c>
      <c r="E2" s="28" t="s">
        <v>201</v>
      </c>
      <c r="F2" s="18"/>
      <c r="G2" s="28"/>
      <c r="H2" s="18"/>
      <c r="I2" s="43" t="s">
        <v>219</v>
      </c>
      <c r="J2" s="43" t="s">
        <v>224</v>
      </c>
      <c r="K2" s="18"/>
      <c r="L2" s="18"/>
      <c r="M2" s="51"/>
      <c r="N2" s="59"/>
    </row>
    <row r="3" spans="1:14" ht="12.75">
      <c r="A3" s="4"/>
      <c r="B3" s="19"/>
      <c r="C3" s="19"/>
      <c r="D3" s="26"/>
      <c r="E3" s="19"/>
      <c r="F3" s="19"/>
      <c r="G3" s="19"/>
      <c r="H3" s="19"/>
      <c r="I3" s="19"/>
      <c r="J3" s="19"/>
      <c r="K3" s="19"/>
      <c r="L3" s="19"/>
      <c r="M3" s="52"/>
      <c r="N3" s="59"/>
    </row>
    <row r="4" spans="1:14" ht="12.75">
      <c r="A4" s="5" t="s">
        <v>2</v>
      </c>
      <c r="B4" s="19"/>
      <c r="C4" s="19"/>
      <c r="D4" s="16"/>
      <c r="E4" s="29" t="s">
        <v>202</v>
      </c>
      <c r="F4" s="19"/>
      <c r="G4" s="36">
        <v>42339</v>
      </c>
      <c r="H4" s="19"/>
      <c r="I4" s="16" t="s">
        <v>220</v>
      </c>
      <c r="J4" s="16" t="s">
        <v>225</v>
      </c>
      <c r="K4" s="19"/>
      <c r="L4" s="19"/>
      <c r="M4" s="52"/>
      <c r="N4" s="59"/>
    </row>
    <row r="5" spans="1:14" ht="12.75">
      <c r="A5" s="4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52"/>
      <c r="N5" s="59"/>
    </row>
    <row r="6" spans="1:14" ht="12.75">
      <c r="A6" s="5" t="s">
        <v>3</v>
      </c>
      <c r="B6" s="19"/>
      <c r="C6" s="19"/>
      <c r="D6" s="16" t="s">
        <v>125</v>
      </c>
      <c r="E6" s="29" t="s">
        <v>203</v>
      </c>
      <c r="F6" s="19"/>
      <c r="G6" s="19"/>
      <c r="H6" s="19"/>
      <c r="I6" s="16" t="s">
        <v>221</v>
      </c>
      <c r="J6" s="16"/>
      <c r="K6" s="19"/>
      <c r="L6" s="19"/>
      <c r="M6" s="52"/>
      <c r="N6" s="59"/>
    </row>
    <row r="7" spans="1:14" ht="12.75">
      <c r="A7" s="4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52"/>
      <c r="N7" s="59"/>
    </row>
    <row r="8" spans="1:14" ht="12.75">
      <c r="A8" s="5" t="s">
        <v>4</v>
      </c>
      <c r="B8" s="19"/>
      <c r="C8" s="19"/>
      <c r="D8" s="16">
        <v>801</v>
      </c>
      <c r="E8" s="29" t="s">
        <v>204</v>
      </c>
      <c r="F8" s="19"/>
      <c r="G8" s="36">
        <v>42150</v>
      </c>
      <c r="H8" s="19"/>
      <c r="I8" s="16" t="s">
        <v>222</v>
      </c>
      <c r="J8" s="16" t="s">
        <v>226</v>
      </c>
      <c r="K8" s="19"/>
      <c r="L8" s="19"/>
      <c r="M8" s="52"/>
      <c r="N8" s="59"/>
    </row>
    <row r="9" spans="1:14" ht="12.75">
      <c r="A9" s="6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53"/>
      <c r="N9" s="59"/>
    </row>
    <row r="10" spans="1:14" ht="12.75">
      <c r="A10" s="7" t="s">
        <v>5</v>
      </c>
      <c r="B10" s="21" t="s">
        <v>60</v>
      </c>
      <c r="C10" s="21" t="s">
        <v>61</v>
      </c>
      <c r="D10" s="21" t="s">
        <v>126</v>
      </c>
      <c r="E10" s="21" t="s">
        <v>205</v>
      </c>
      <c r="F10" s="32" t="s">
        <v>213</v>
      </c>
      <c r="G10" s="37" t="s">
        <v>214</v>
      </c>
      <c r="H10" s="40" t="s">
        <v>216</v>
      </c>
      <c r="I10" s="44"/>
      <c r="J10" s="47"/>
      <c r="K10" s="40" t="s">
        <v>228</v>
      </c>
      <c r="L10" s="47"/>
      <c r="M10" s="54" t="s">
        <v>229</v>
      </c>
      <c r="N10" s="60"/>
    </row>
    <row r="11" spans="1:24" ht="12.75">
      <c r="A11" s="8" t="s">
        <v>6</v>
      </c>
      <c r="B11" s="22" t="s">
        <v>6</v>
      </c>
      <c r="C11" s="22" t="s">
        <v>6</v>
      </c>
      <c r="D11" s="27" t="s">
        <v>127</v>
      </c>
      <c r="E11" s="22" t="s">
        <v>6</v>
      </c>
      <c r="F11" s="22" t="s">
        <v>6</v>
      </c>
      <c r="G11" s="38" t="s">
        <v>215</v>
      </c>
      <c r="H11" s="41" t="s">
        <v>217</v>
      </c>
      <c r="I11" s="45" t="s">
        <v>223</v>
      </c>
      <c r="J11" s="48" t="s">
        <v>227</v>
      </c>
      <c r="K11" s="41" t="s">
        <v>214</v>
      </c>
      <c r="L11" s="48" t="s">
        <v>227</v>
      </c>
      <c r="M11" s="55" t="s">
        <v>230</v>
      </c>
      <c r="N11" s="60"/>
      <c r="P11" s="50" t="s">
        <v>233</v>
      </c>
      <c r="Q11" s="50" t="s">
        <v>234</v>
      </c>
      <c r="R11" s="50" t="s">
        <v>239</v>
      </c>
      <c r="S11" s="50" t="s">
        <v>240</v>
      </c>
      <c r="T11" s="50" t="s">
        <v>241</v>
      </c>
      <c r="U11" s="50" t="s">
        <v>242</v>
      </c>
      <c r="V11" s="50" t="s">
        <v>243</v>
      </c>
      <c r="W11" s="50" t="s">
        <v>244</v>
      </c>
      <c r="X11" s="50" t="s">
        <v>245</v>
      </c>
    </row>
    <row r="12" spans="1:37" ht="12.75">
      <c r="A12" s="9"/>
      <c r="B12" s="23"/>
      <c r="C12" s="23" t="s">
        <v>17</v>
      </c>
      <c r="D12" s="23" t="s">
        <v>128</v>
      </c>
      <c r="E12" s="30"/>
      <c r="F12" s="30"/>
      <c r="G12" s="30"/>
      <c r="H12" s="62">
        <f>SUM(H13:H15)</f>
        <v>0</v>
      </c>
      <c r="I12" s="62">
        <f>SUM(I13:I15)</f>
        <v>0</v>
      </c>
      <c r="J12" s="62">
        <f>H12+I12</f>
        <v>0</v>
      </c>
      <c r="K12" s="49"/>
      <c r="L12" s="62">
        <f>SUM(L13:L15)</f>
        <v>6.469899999999999</v>
      </c>
      <c r="M12" s="49"/>
      <c r="P12" s="63">
        <f>IF(Q12="PR",J12,SUM(O13:O15))</f>
        <v>0</v>
      </c>
      <c r="Q12" s="50" t="s">
        <v>235</v>
      </c>
      <c r="R12" s="63">
        <f>IF(Q12="HS",H12,0)</f>
        <v>0</v>
      </c>
      <c r="S12" s="63">
        <f>IF(Q12="HS",I12-P12,0)</f>
        <v>0</v>
      </c>
      <c r="T12" s="63">
        <f>IF(Q12="PS",H12,0)</f>
        <v>0</v>
      </c>
      <c r="U12" s="63">
        <f>IF(Q12="PS",I12-P12,0)</f>
        <v>0</v>
      </c>
      <c r="V12" s="63">
        <f>IF(Q12="MP",H12,0)</f>
        <v>0</v>
      </c>
      <c r="W12" s="63">
        <f>IF(Q12="MP",I12-P12,0)</f>
        <v>0</v>
      </c>
      <c r="X12" s="63">
        <f>IF(Q12="OM",H12,0)</f>
        <v>0</v>
      </c>
      <c r="Y12" s="50"/>
      <c r="AI12" s="63">
        <f>SUM(Z13:Z15)</f>
        <v>0</v>
      </c>
      <c r="AJ12" s="63">
        <f>SUM(AA13:AA15)</f>
        <v>0</v>
      </c>
      <c r="AK12" s="63">
        <f>SUM(AB13:AB15)</f>
        <v>0</v>
      </c>
    </row>
    <row r="13" spans="1:32" ht="12.75">
      <c r="A13" s="10" t="s">
        <v>7</v>
      </c>
      <c r="B13" s="10"/>
      <c r="C13" s="10" t="s">
        <v>62</v>
      </c>
      <c r="D13" s="10" t="s">
        <v>129</v>
      </c>
      <c r="E13" s="10" t="s">
        <v>206</v>
      </c>
      <c r="F13" s="33">
        <v>43.01</v>
      </c>
      <c r="H13" s="33">
        <f>ROUND(F13*AE13,2)</f>
        <v>0</v>
      </c>
      <c r="I13" s="33">
        <f>J13-H13</f>
        <v>0</v>
      </c>
      <c r="J13" s="33">
        <f>ROUND(F13*G13,2)</f>
        <v>0</v>
      </c>
      <c r="K13" s="33">
        <v>0.11</v>
      </c>
      <c r="L13" s="33">
        <f>F13*K13</f>
        <v>4.7311</v>
      </c>
      <c r="M13" s="56" t="s">
        <v>231</v>
      </c>
      <c r="N13" s="56" t="s">
        <v>9</v>
      </c>
      <c r="O13" s="33">
        <f>IF(N13="5",I13,0)</f>
        <v>0</v>
      </c>
      <c r="Z13" s="33">
        <f>IF(AD13=0,J13,0)</f>
        <v>0</v>
      </c>
      <c r="AA13" s="33">
        <f>IF(AD13=15,J13,0)</f>
        <v>0</v>
      </c>
      <c r="AB13" s="33">
        <f>IF(AD13=21,J13,0)</f>
        <v>0</v>
      </c>
      <c r="AD13" s="61">
        <v>15</v>
      </c>
      <c r="AE13" s="61">
        <f>G13*0</f>
        <v>0</v>
      </c>
      <c r="AF13" s="61">
        <f>G13*(1-0)</f>
        <v>0</v>
      </c>
    </row>
    <row r="14" ht="12.75">
      <c r="D14" s="16" t="s">
        <v>130</v>
      </c>
    </row>
    <row r="15" spans="1:32" ht="12.75">
      <c r="A15" s="10" t="s">
        <v>8</v>
      </c>
      <c r="B15" s="10"/>
      <c r="C15" s="10" t="s">
        <v>63</v>
      </c>
      <c r="D15" s="10" t="s">
        <v>131</v>
      </c>
      <c r="E15" s="10" t="s">
        <v>207</v>
      </c>
      <c r="F15" s="33">
        <v>18.9</v>
      </c>
      <c r="H15" s="33">
        <f>ROUND(F15*AE15,2)</f>
        <v>0</v>
      </c>
      <c r="I15" s="33">
        <f>J15-H15</f>
        <v>0</v>
      </c>
      <c r="J15" s="33">
        <f>ROUND(F15*G15,2)</f>
        <v>0</v>
      </c>
      <c r="K15" s="33">
        <v>0.092</v>
      </c>
      <c r="L15" s="33">
        <f>F15*K15</f>
        <v>1.7388</v>
      </c>
      <c r="M15" s="56" t="s">
        <v>231</v>
      </c>
      <c r="N15" s="56" t="s">
        <v>8</v>
      </c>
      <c r="O15" s="33">
        <f>IF(N15="5",I15,0)</f>
        <v>0</v>
      </c>
      <c r="Z15" s="33">
        <f>IF(AD15=0,J15,0)</f>
        <v>0</v>
      </c>
      <c r="AA15" s="33">
        <f>IF(AD15=15,J15,0)</f>
        <v>0</v>
      </c>
      <c r="AB15" s="33">
        <f>IF(AD15=21,J15,0)</f>
        <v>0</v>
      </c>
      <c r="AD15" s="61">
        <v>15</v>
      </c>
      <c r="AE15" s="61">
        <f>G15*0</f>
        <v>0</v>
      </c>
      <c r="AF15" s="61">
        <f>G15*(1-0)</f>
        <v>0</v>
      </c>
    </row>
    <row r="16" spans="1:37" ht="12.75">
      <c r="A16" s="11"/>
      <c r="B16" s="24"/>
      <c r="C16" s="24" t="s">
        <v>18</v>
      </c>
      <c r="D16" s="24" t="s">
        <v>132</v>
      </c>
      <c r="E16" s="31"/>
      <c r="F16" s="31"/>
      <c r="G16" s="31"/>
      <c r="H16" s="63">
        <f>SUM(H17:H18)</f>
        <v>0</v>
      </c>
      <c r="I16" s="63">
        <f>SUM(I17:I18)</f>
        <v>0</v>
      </c>
      <c r="J16" s="63">
        <f>H16+I16</f>
        <v>0</v>
      </c>
      <c r="K16" s="50"/>
      <c r="L16" s="63">
        <f>SUM(L17:L18)</f>
        <v>9.0366</v>
      </c>
      <c r="M16" s="50"/>
      <c r="P16" s="63">
        <f>IF(Q16="PR",J16,SUM(O17:O18))</f>
        <v>0</v>
      </c>
      <c r="Q16" s="50" t="s">
        <v>235</v>
      </c>
      <c r="R16" s="63">
        <f>IF(Q16="HS",H16,0)</f>
        <v>0</v>
      </c>
      <c r="S16" s="63">
        <f>IF(Q16="HS",I16-P16,0)</f>
        <v>0</v>
      </c>
      <c r="T16" s="63">
        <f>IF(Q16="PS",H16,0)</f>
        <v>0</v>
      </c>
      <c r="U16" s="63">
        <f>IF(Q16="PS",I16-P16,0)</f>
        <v>0</v>
      </c>
      <c r="V16" s="63">
        <f>IF(Q16="MP",H16,0)</f>
        <v>0</v>
      </c>
      <c r="W16" s="63">
        <f>IF(Q16="MP",I16-P16,0)</f>
        <v>0</v>
      </c>
      <c r="X16" s="63">
        <f>IF(Q16="OM",H16,0)</f>
        <v>0</v>
      </c>
      <c r="Y16" s="50"/>
      <c r="AI16" s="63">
        <f>SUM(Z17:Z18)</f>
        <v>0</v>
      </c>
      <c r="AJ16" s="63">
        <f>SUM(AA17:AA18)</f>
        <v>0</v>
      </c>
      <c r="AK16" s="63">
        <f>SUM(AB17:AB18)</f>
        <v>0</v>
      </c>
    </row>
    <row r="17" spans="1:32" ht="12.75">
      <c r="A17" s="10" t="s">
        <v>9</v>
      </c>
      <c r="B17" s="10"/>
      <c r="C17" s="10" t="s">
        <v>64</v>
      </c>
      <c r="D17" s="10" t="s">
        <v>133</v>
      </c>
      <c r="E17" s="10" t="s">
        <v>208</v>
      </c>
      <c r="F17" s="33">
        <v>4.26</v>
      </c>
      <c r="H17" s="33">
        <f>ROUND(F17*AE17,2)</f>
        <v>0</v>
      </c>
      <c r="I17" s="33">
        <f>J17-H17</f>
        <v>0</v>
      </c>
      <c r="J17" s="33">
        <f>ROUND(F17*G17,2)</f>
        <v>0</v>
      </c>
      <c r="K17" s="33">
        <v>0.16</v>
      </c>
      <c r="L17" s="33">
        <f>F17*K17</f>
        <v>0.6816</v>
      </c>
      <c r="M17" s="56" t="s">
        <v>231</v>
      </c>
      <c r="N17" s="56" t="s">
        <v>7</v>
      </c>
      <c r="O17" s="33">
        <f>IF(N17="5",I17,0)</f>
        <v>0</v>
      </c>
      <c r="Z17" s="33">
        <f>IF(AD17=0,J17,0)</f>
        <v>0</v>
      </c>
      <c r="AA17" s="33">
        <f>IF(AD17=15,J17,0)</f>
        <v>0</v>
      </c>
      <c r="AB17" s="33">
        <f>IF(AD17=21,J17,0)</f>
        <v>0</v>
      </c>
      <c r="AD17" s="61">
        <v>15</v>
      </c>
      <c r="AE17" s="61">
        <f>G17*0</f>
        <v>0</v>
      </c>
      <c r="AF17" s="61">
        <f>G17*(1-0)</f>
        <v>0</v>
      </c>
    </row>
    <row r="18" spans="1:32" ht="12.75">
      <c r="A18" s="10" t="s">
        <v>10</v>
      </c>
      <c r="B18" s="10"/>
      <c r="C18" s="10" t="s">
        <v>65</v>
      </c>
      <c r="D18" s="10" t="s">
        <v>134</v>
      </c>
      <c r="E18" s="10" t="s">
        <v>208</v>
      </c>
      <c r="F18" s="33">
        <v>5.57</v>
      </c>
      <c r="H18" s="33">
        <f>ROUND(F18*AE18,2)</f>
        <v>0</v>
      </c>
      <c r="I18" s="33">
        <f>J18-H18</f>
        <v>0</v>
      </c>
      <c r="J18" s="33">
        <f>ROUND(F18*G18,2)</f>
        <v>0</v>
      </c>
      <c r="K18" s="33">
        <v>1.5</v>
      </c>
      <c r="L18" s="33">
        <f>F18*K18</f>
        <v>8.355</v>
      </c>
      <c r="M18" s="56" t="s">
        <v>231</v>
      </c>
      <c r="N18" s="56" t="s">
        <v>7</v>
      </c>
      <c r="O18" s="33">
        <f>IF(N18="5",I18,0)</f>
        <v>0</v>
      </c>
      <c r="Z18" s="33">
        <f>IF(AD18=0,J18,0)</f>
        <v>0</v>
      </c>
      <c r="AA18" s="33">
        <f>IF(AD18=15,J18,0)</f>
        <v>0</v>
      </c>
      <c r="AB18" s="33">
        <f>IF(AD18=21,J18,0)</f>
        <v>0</v>
      </c>
      <c r="AD18" s="61">
        <v>15</v>
      </c>
      <c r="AE18" s="61">
        <f>G18*0</f>
        <v>0</v>
      </c>
      <c r="AF18" s="61">
        <f>G18*(1-0)</f>
        <v>0</v>
      </c>
    </row>
    <row r="19" spans="1:37" ht="12.75">
      <c r="A19" s="11"/>
      <c r="B19" s="24"/>
      <c r="C19" s="24" t="s">
        <v>37</v>
      </c>
      <c r="D19" s="24" t="s">
        <v>135</v>
      </c>
      <c r="E19" s="31"/>
      <c r="F19" s="31"/>
      <c r="G19" s="31"/>
      <c r="H19" s="63">
        <f>SUM(H20:H20)</f>
        <v>0</v>
      </c>
      <c r="I19" s="63">
        <f>SUM(I20:I20)</f>
        <v>0</v>
      </c>
      <c r="J19" s="63">
        <f>H19+I19</f>
        <v>0</v>
      </c>
      <c r="K19" s="50"/>
      <c r="L19" s="63">
        <f>SUM(L20:L20)</f>
        <v>1.6153340000000003</v>
      </c>
      <c r="M19" s="50"/>
      <c r="P19" s="63">
        <f>IF(Q19="PR",J19,SUM(O20:O20))</f>
        <v>0</v>
      </c>
      <c r="Q19" s="50" t="s">
        <v>235</v>
      </c>
      <c r="R19" s="63">
        <f>IF(Q19="HS",H19,0)</f>
        <v>0</v>
      </c>
      <c r="S19" s="63">
        <f>IF(Q19="HS",I19-P19,0)</f>
        <v>0</v>
      </c>
      <c r="T19" s="63">
        <f>IF(Q19="PS",H19,0)</f>
        <v>0</v>
      </c>
      <c r="U19" s="63">
        <f>IF(Q19="PS",I19-P19,0)</f>
        <v>0</v>
      </c>
      <c r="V19" s="63">
        <f>IF(Q19="MP",H19,0)</f>
        <v>0</v>
      </c>
      <c r="W19" s="63">
        <f>IF(Q19="MP",I19-P19,0)</f>
        <v>0</v>
      </c>
      <c r="X19" s="63">
        <f>IF(Q19="OM",H19,0)</f>
        <v>0</v>
      </c>
      <c r="Y19" s="50"/>
      <c r="AI19" s="63">
        <f>SUM(Z20:Z20)</f>
        <v>0</v>
      </c>
      <c r="AJ19" s="63">
        <f>SUM(AA20:AA20)</f>
        <v>0</v>
      </c>
      <c r="AK19" s="63">
        <f>SUM(AB20:AB20)</f>
        <v>0</v>
      </c>
    </row>
    <row r="20" spans="1:32" ht="12.75">
      <c r="A20" s="10" t="s">
        <v>11</v>
      </c>
      <c r="B20" s="10"/>
      <c r="C20" s="10" t="s">
        <v>66</v>
      </c>
      <c r="D20" s="10" t="s">
        <v>136</v>
      </c>
      <c r="E20" s="10" t="s">
        <v>209</v>
      </c>
      <c r="F20" s="33">
        <v>9.8</v>
      </c>
      <c r="H20" s="33">
        <f>ROUND(F20*AE20,2)</f>
        <v>0</v>
      </c>
      <c r="I20" s="33">
        <f>J20-H20</f>
        <v>0</v>
      </c>
      <c r="J20" s="33">
        <f>ROUND(F20*G20,2)</f>
        <v>0</v>
      </c>
      <c r="K20" s="33">
        <v>0.16483</v>
      </c>
      <c r="L20" s="33">
        <f>F20*K20</f>
        <v>1.6153340000000003</v>
      </c>
      <c r="M20" s="56" t="s">
        <v>231</v>
      </c>
      <c r="N20" s="56" t="s">
        <v>7</v>
      </c>
      <c r="O20" s="33">
        <f>IF(N20="5",I20,0)</f>
        <v>0</v>
      </c>
      <c r="Z20" s="33">
        <f>IF(AD20=0,J20,0)</f>
        <v>0</v>
      </c>
      <c r="AA20" s="33">
        <f>IF(AD20=15,J20,0)</f>
        <v>0</v>
      </c>
      <c r="AB20" s="33">
        <f>IF(AD20=21,J20,0)</f>
        <v>0</v>
      </c>
      <c r="AD20" s="61">
        <v>15</v>
      </c>
      <c r="AE20" s="61">
        <f>G20*0.275847328244275</f>
        <v>0</v>
      </c>
      <c r="AF20" s="61">
        <f>G20*(1-0.275847328244275)</f>
        <v>0</v>
      </c>
    </row>
    <row r="21" spans="1:37" ht="12.75">
      <c r="A21" s="11"/>
      <c r="B21" s="24"/>
      <c r="C21" s="24" t="s">
        <v>51</v>
      </c>
      <c r="D21" s="24" t="s">
        <v>137</v>
      </c>
      <c r="E21" s="31"/>
      <c r="F21" s="31"/>
      <c r="G21" s="31"/>
      <c r="H21" s="63">
        <f>SUM(H22:H22)</f>
        <v>0</v>
      </c>
      <c r="I21" s="63">
        <f>SUM(I22:I22)</f>
        <v>0</v>
      </c>
      <c r="J21" s="63">
        <f>H21+I21</f>
        <v>0</v>
      </c>
      <c r="K21" s="50"/>
      <c r="L21" s="63">
        <f>SUM(L22:L22)</f>
        <v>0.0026964</v>
      </c>
      <c r="M21" s="50"/>
      <c r="P21" s="63">
        <f>IF(Q21="PR",J21,SUM(O22:O22))</f>
        <v>0</v>
      </c>
      <c r="Q21" s="50" t="s">
        <v>235</v>
      </c>
      <c r="R21" s="63">
        <f>IF(Q21="HS",H21,0)</f>
        <v>0</v>
      </c>
      <c r="S21" s="63">
        <f>IF(Q21="HS",I21-P21,0)</f>
        <v>0</v>
      </c>
      <c r="T21" s="63">
        <f>IF(Q21="PS",H21,0)</f>
        <v>0</v>
      </c>
      <c r="U21" s="63">
        <f>IF(Q21="PS",I21-P21,0)</f>
        <v>0</v>
      </c>
      <c r="V21" s="63">
        <f>IF(Q21="MP",H21,0)</f>
        <v>0</v>
      </c>
      <c r="W21" s="63">
        <f>IF(Q21="MP",I21-P21,0)</f>
        <v>0</v>
      </c>
      <c r="X21" s="63">
        <f>IF(Q21="OM",H21,0)</f>
        <v>0</v>
      </c>
      <c r="Y21" s="50"/>
      <c r="AI21" s="63">
        <f>SUM(Z22:Z22)</f>
        <v>0</v>
      </c>
      <c r="AJ21" s="63">
        <f>SUM(AA22:AA22)</f>
        <v>0</v>
      </c>
      <c r="AK21" s="63">
        <f>SUM(AB22:AB22)</f>
        <v>0</v>
      </c>
    </row>
    <row r="22" spans="1:32" ht="12.75">
      <c r="A22" s="10" t="s">
        <v>12</v>
      </c>
      <c r="B22" s="10"/>
      <c r="C22" s="10" t="s">
        <v>67</v>
      </c>
      <c r="D22" s="10" t="s">
        <v>138</v>
      </c>
      <c r="E22" s="10" t="s">
        <v>206</v>
      </c>
      <c r="F22" s="33">
        <v>9.63</v>
      </c>
      <c r="H22" s="33">
        <f>ROUND(F22*AE22,2)</f>
        <v>0</v>
      </c>
      <c r="I22" s="33">
        <f>J22-H22</f>
        <v>0</v>
      </c>
      <c r="J22" s="33">
        <f>ROUND(F22*G22,2)</f>
        <v>0</v>
      </c>
      <c r="K22" s="33">
        <v>0.00028</v>
      </c>
      <c r="L22" s="33">
        <f>F22*K22</f>
        <v>0.0026964</v>
      </c>
      <c r="M22" s="56" t="s">
        <v>231</v>
      </c>
      <c r="N22" s="56" t="s">
        <v>7</v>
      </c>
      <c r="O22" s="33">
        <f>IF(N22="5",I22,0)</f>
        <v>0</v>
      </c>
      <c r="Z22" s="33">
        <f>IF(AD22=0,J22,0)</f>
        <v>0</v>
      </c>
      <c r="AA22" s="33">
        <f>IF(AD22=15,J22,0)</f>
        <v>0</v>
      </c>
      <c r="AB22" s="33">
        <f>IF(AD22=21,J22,0)</f>
        <v>0</v>
      </c>
      <c r="AD22" s="61">
        <v>15</v>
      </c>
      <c r="AE22" s="61">
        <f>G22*0.0886292390994585</f>
        <v>0</v>
      </c>
      <c r="AF22" s="61">
        <f>G22*(1-0.0886292390994585)</f>
        <v>0</v>
      </c>
    </row>
    <row r="23" spans="1:37" ht="12.75">
      <c r="A23" s="11"/>
      <c r="B23" s="24"/>
      <c r="C23" s="24" t="s">
        <v>68</v>
      </c>
      <c r="D23" s="24" t="s">
        <v>139</v>
      </c>
      <c r="E23" s="31"/>
      <c r="F23" s="31"/>
      <c r="G23" s="31"/>
      <c r="H23" s="63">
        <f>SUM(H24:H27)</f>
        <v>0</v>
      </c>
      <c r="I23" s="63">
        <f>SUM(I24:I27)</f>
        <v>0</v>
      </c>
      <c r="J23" s="63">
        <f>H23+I23</f>
        <v>0</v>
      </c>
      <c r="K23" s="50"/>
      <c r="L23" s="63">
        <f>SUM(L24:L27)</f>
        <v>16.8530552</v>
      </c>
      <c r="M23" s="50"/>
      <c r="P23" s="63">
        <f>IF(Q23="PR",J23,SUM(O24:O27))</f>
        <v>0</v>
      </c>
      <c r="Q23" s="50" t="s">
        <v>235</v>
      </c>
      <c r="R23" s="63">
        <f>IF(Q23="HS",H23,0)</f>
        <v>0</v>
      </c>
      <c r="S23" s="63">
        <f>IF(Q23="HS",I23-P23,0)</f>
        <v>0</v>
      </c>
      <c r="T23" s="63">
        <f>IF(Q23="PS",H23,0)</f>
        <v>0</v>
      </c>
      <c r="U23" s="63">
        <f>IF(Q23="PS",I23-P23,0)</f>
        <v>0</v>
      </c>
      <c r="V23" s="63">
        <f>IF(Q23="MP",H23,0)</f>
        <v>0</v>
      </c>
      <c r="W23" s="63">
        <f>IF(Q23="MP",I23-P23,0)</f>
        <v>0</v>
      </c>
      <c r="X23" s="63">
        <f>IF(Q23="OM",H23,0)</f>
        <v>0</v>
      </c>
      <c r="Y23" s="50"/>
      <c r="AI23" s="63">
        <f>SUM(Z24:Z27)</f>
        <v>0</v>
      </c>
      <c r="AJ23" s="63">
        <f>SUM(AA24:AA27)</f>
        <v>0</v>
      </c>
      <c r="AK23" s="63">
        <f>SUM(AB24:AB27)</f>
        <v>0</v>
      </c>
    </row>
    <row r="24" spans="1:32" ht="12.75">
      <c r="A24" s="10" t="s">
        <v>13</v>
      </c>
      <c r="B24" s="10"/>
      <c r="C24" s="10" t="s">
        <v>69</v>
      </c>
      <c r="D24" s="10" t="s">
        <v>140</v>
      </c>
      <c r="E24" s="10" t="s">
        <v>206</v>
      </c>
      <c r="F24" s="33">
        <v>43.01</v>
      </c>
      <c r="H24" s="33">
        <f>ROUND(F24*AE24,2)</f>
        <v>0</v>
      </c>
      <c r="I24" s="33">
        <f>J24-H24</f>
        <v>0</v>
      </c>
      <c r="J24" s="33">
        <f>ROUND(F24*G24,2)</f>
        <v>0</v>
      </c>
      <c r="K24" s="33">
        <v>0.0982</v>
      </c>
      <c r="L24" s="33">
        <f>F24*K24</f>
        <v>4.2235819999999995</v>
      </c>
      <c r="M24" s="56" t="s">
        <v>231</v>
      </c>
      <c r="N24" s="56" t="s">
        <v>7</v>
      </c>
      <c r="O24" s="33">
        <f>IF(N24="5",I24,0)</f>
        <v>0</v>
      </c>
      <c r="Z24" s="33">
        <f>IF(AD24=0,J24,0)</f>
        <v>0</v>
      </c>
      <c r="AA24" s="33">
        <f>IF(AD24=15,J24,0)</f>
        <v>0</v>
      </c>
      <c r="AB24" s="33">
        <f>IF(AD24=21,J24,0)</f>
        <v>0</v>
      </c>
      <c r="AD24" s="61">
        <v>15</v>
      </c>
      <c r="AE24" s="61">
        <f>G24*0.6768</f>
        <v>0</v>
      </c>
      <c r="AF24" s="61">
        <f>G24*(1-0.6768)</f>
        <v>0</v>
      </c>
    </row>
    <row r="25" spans="1:32" ht="12.75">
      <c r="A25" s="10" t="s">
        <v>14</v>
      </c>
      <c r="B25" s="10"/>
      <c r="C25" s="10" t="s">
        <v>70</v>
      </c>
      <c r="D25" s="10" t="s">
        <v>141</v>
      </c>
      <c r="E25" s="10" t="s">
        <v>206</v>
      </c>
      <c r="F25" s="33">
        <v>43.01</v>
      </c>
      <c r="H25" s="33">
        <f>ROUND(F25*AE25,2)</f>
        <v>0</v>
      </c>
      <c r="I25" s="33">
        <f>J25-H25</f>
        <v>0</v>
      </c>
      <c r="J25" s="33">
        <f>ROUND(F25*G25,2)</f>
        <v>0</v>
      </c>
      <c r="K25" s="33">
        <v>0.18907</v>
      </c>
      <c r="L25" s="33">
        <f>F25*K25</f>
        <v>8.1319007</v>
      </c>
      <c r="M25" s="56" t="s">
        <v>231</v>
      </c>
      <c r="N25" s="56" t="s">
        <v>7</v>
      </c>
      <c r="O25" s="33">
        <f>IF(N25="5",I25,0)</f>
        <v>0</v>
      </c>
      <c r="Z25" s="33">
        <f>IF(AD25=0,J25,0)</f>
        <v>0</v>
      </c>
      <c r="AA25" s="33">
        <f>IF(AD25=15,J25,0)</f>
        <v>0</v>
      </c>
      <c r="AB25" s="33">
        <f>IF(AD25=21,J25,0)</f>
        <v>0</v>
      </c>
      <c r="AD25" s="61">
        <v>15</v>
      </c>
      <c r="AE25" s="61">
        <f>G25*0.810323253388947</f>
        <v>0</v>
      </c>
      <c r="AF25" s="61">
        <f>G25*(1-0.810323253388947)</f>
        <v>0</v>
      </c>
    </row>
    <row r="26" spans="1:32" ht="12.75">
      <c r="A26" s="10" t="s">
        <v>15</v>
      </c>
      <c r="B26" s="10"/>
      <c r="C26" s="10" t="s">
        <v>71</v>
      </c>
      <c r="D26" s="10" t="s">
        <v>142</v>
      </c>
      <c r="E26" s="10" t="s">
        <v>206</v>
      </c>
      <c r="F26" s="33">
        <v>43.01</v>
      </c>
      <c r="H26" s="33">
        <f>ROUND(F26*AE26,2)</f>
        <v>0</v>
      </c>
      <c r="I26" s="33">
        <f>J26-H26</f>
        <v>0</v>
      </c>
      <c r="J26" s="33">
        <f>ROUND(F26*G26,2)</f>
        <v>0</v>
      </c>
      <c r="K26" s="33">
        <v>0.06185</v>
      </c>
      <c r="L26" s="33">
        <f>F26*K26</f>
        <v>2.6601685</v>
      </c>
      <c r="M26" s="56" t="s">
        <v>231</v>
      </c>
      <c r="N26" s="56" t="s">
        <v>7</v>
      </c>
      <c r="O26" s="33">
        <f>IF(N26="5",I26,0)</f>
        <v>0</v>
      </c>
      <c r="Z26" s="33">
        <f>IF(AD26=0,J26,0)</f>
        <v>0</v>
      </c>
      <c r="AA26" s="33">
        <f>IF(AD26=15,J26,0)</f>
        <v>0</v>
      </c>
      <c r="AB26" s="33">
        <f>IF(AD26=21,J26,0)</f>
        <v>0</v>
      </c>
      <c r="AD26" s="61">
        <v>15</v>
      </c>
      <c r="AE26" s="61">
        <f>G26*0.538383838383838</f>
        <v>0</v>
      </c>
      <c r="AF26" s="61">
        <f>G26*(1-0.538383838383838)</f>
        <v>0</v>
      </c>
    </row>
    <row r="27" spans="1:32" ht="12.75">
      <c r="A27" s="10" t="s">
        <v>16</v>
      </c>
      <c r="B27" s="10"/>
      <c r="C27" s="10" t="s">
        <v>72</v>
      </c>
      <c r="D27" s="10" t="s">
        <v>143</v>
      </c>
      <c r="E27" s="10" t="s">
        <v>206</v>
      </c>
      <c r="F27" s="33">
        <v>9.63</v>
      </c>
      <c r="H27" s="33">
        <f>ROUND(F27*AE27,2)</f>
        <v>0</v>
      </c>
      <c r="I27" s="33">
        <f>J27-H27</f>
        <v>0</v>
      </c>
      <c r="J27" s="33">
        <f>ROUND(F27*G27,2)</f>
        <v>0</v>
      </c>
      <c r="K27" s="33">
        <v>0.1908</v>
      </c>
      <c r="L27" s="33">
        <f>F27*K27</f>
        <v>1.837404</v>
      </c>
      <c r="M27" s="56" t="s">
        <v>231</v>
      </c>
      <c r="N27" s="56" t="s">
        <v>7</v>
      </c>
      <c r="O27" s="33">
        <f>IF(N27="5",I27,0)</f>
        <v>0</v>
      </c>
      <c r="Z27" s="33">
        <f>IF(AD27=0,J27,0)</f>
        <v>0</v>
      </c>
      <c r="AA27" s="33">
        <f>IF(AD27=15,J27,0)</f>
        <v>0</v>
      </c>
      <c r="AB27" s="33">
        <f>IF(AD27=21,J27,0)</f>
        <v>0</v>
      </c>
      <c r="AD27" s="61">
        <v>15</v>
      </c>
      <c r="AE27" s="61">
        <f>G27*0.0606400898371701</f>
        <v>0</v>
      </c>
      <c r="AF27" s="61">
        <f>G27*(1-0.0606400898371701)</f>
        <v>0</v>
      </c>
    </row>
    <row r="28" spans="1:37" ht="12.75">
      <c r="A28" s="11"/>
      <c r="B28" s="24"/>
      <c r="C28" s="24" t="s">
        <v>12</v>
      </c>
      <c r="D28" s="24" t="s">
        <v>144</v>
      </c>
      <c r="E28" s="31"/>
      <c r="F28" s="31"/>
      <c r="G28" s="31"/>
      <c r="H28" s="63">
        <f>SUM(H29:H29)</f>
        <v>0</v>
      </c>
      <c r="I28" s="63">
        <f>SUM(I29:I29)</f>
        <v>0</v>
      </c>
      <c r="J28" s="63">
        <f>H28+I28</f>
        <v>0</v>
      </c>
      <c r="K28" s="50"/>
      <c r="L28" s="63">
        <f>SUM(L29:L29)</f>
        <v>0.0267267</v>
      </c>
      <c r="M28" s="50"/>
      <c r="P28" s="63">
        <f>IF(Q28="PR",J28,SUM(O29:O29))</f>
        <v>0</v>
      </c>
      <c r="Q28" s="50" t="s">
        <v>235</v>
      </c>
      <c r="R28" s="63">
        <f>IF(Q28="HS",H28,0)</f>
        <v>0</v>
      </c>
      <c r="S28" s="63">
        <f>IF(Q28="HS",I28-P28,0)</f>
        <v>0</v>
      </c>
      <c r="T28" s="63">
        <f>IF(Q28="PS",H28,0)</f>
        <v>0</v>
      </c>
      <c r="U28" s="63">
        <f>IF(Q28="PS",I28-P28,0)</f>
        <v>0</v>
      </c>
      <c r="V28" s="63">
        <f>IF(Q28="MP",H28,0)</f>
        <v>0</v>
      </c>
      <c r="W28" s="63">
        <f>IF(Q28="MP",I28-P28,0)</f>
        <v>0</v>
      </c>
      <c r="X28" s="63">
        <f>IF(Q28="OM",H28,0)</f>
        <v>0</v>
      </c>
      <c r="Y28" s="50"/>
      <c r="AI28" s="63">
        <f>SUM(Z29:Z29)</f>
        <v>0</v>
      </c>
      <c r="AJ28" s="63">
        <f>SUM(AA29:AA29)</f>
        <v>0</v>
      </c>
      <c r="AK28" s="63">
        <f>SUM(AB29:AB29)</f>
        <v>0</v>
      </c>
    </row>
    <row r="29" spans="1:32" ht="12.75">
      <c r="A29" s="10" t="s">
        <v>17</v>
      </c>
      <c r="B29" s="10"/>
      <c r="C29" s="10" t="s">
        <v>73</v>
      </c>
      <c r="D29" s="10" t="s">
        <v>145</v>
      </c>
      <c r="E29" s="10" t="s">
        <v>206</v>
      </c>
      <c r="F29" s="33">
        <v>11.57</v>
      </c>
      <c r="H29" s="33">
        <f>ROUND(F29*AE29,2)</f>
        <v>0</v>
      </c>
      <c r="I29" s="33">
        <f>J29-H29</f>
        <v>0</v>
      </c>
      <c r="J29" s="33">
        <f>ROUND(F29*G29,2)</f>
        <v>0</v>
      </c>
      <c r="K29" s="33">
        <v>0.00231</v>
      </c>
      <c r="L29" s="33">
        <f>F29*K29</f>
        <v>0.0267267</v>
      </c>
      <c r="M29" s="56" t="s">
        <v>231</v>
      </c>
      <c r="N29" s="56" t="s">
        <v>7</v>
      </c>
      <c r="O29" s="33">
        <f>IF(N29="5",I29,0)</f>
        <v>0</v>
      </c>
      <c r="Z29" s="33">
        <f>IF(AD29=0,J29,0)</f>
        <v>0</v>
      </c>
      <c r="AA29" s="33">
        <f>IF(AD29=15,J29,0)</f>
        <v>0</v>
      </c>
      <c r="AB29" s="33">
        <f>IF(AD29=21,J29,0)</f>
        <v>0</v>
      </c>
      <c r="AD29" s="61">
        <v>15</v>
      </c>
      <c r="AE29" s="61">
        <f>G29*0.459846569996896</f>
        <v>0</v>
      </c>
      <c r="AF29" s="61">
        <f>G29*(1-0.459846569996896)</f>
        <v>0</v>
      </c>
    </row>
    <row r="30" spans="1:37" ht="12.75">
      <c r="A30" s="11"/>
      <c r="B30" s="24"/>
      <c r="C30" s="24" t="s">
        <v>74</v>
      </c>
      <c r="D30" s="24" t="s">
        <v>146</v>
      </c>
      <c r="E30" s="31"/>
      <c r="F30" s="31"/>
      <c r="G30" s="31"/>
      <c r="H30" s="63">
        <f>SUM(H31:H31)</f>
        <v>0</v>
      </c>
      <c r="I30" s="63">
        <f>SUM(I31:I31)</f>
        <v>0</v>
      </c>
      <c r="J30" s="63">
        <f>H30+I30</f>
        <v>0</v>
      </c>
      <c r="K30" s="50"/>
      <c r="L30" s="63">
        <f>SUM(L31:L31)</f>
        <v>0.039728</v>
      </c>
      <c r="M30" s="50"/>
      <c r="P30" s="63">
        <f>IF(Q30="PR",J30,SUM(O31:O31))</f>
        <v>0</v>
      </c>
      <c r="Q30" s="50" t="s">
        <v>235</v>
      </c>
      <c r="R30" s="63">
        <f>IF(Q30="HS",H30,0)</f>
        <v>0</v>
      </c>
      <c r="S30" s="63">
        <f>IF(Q30="HS",I30-P30,0)</f>
        <v>0</v>
      </c>
      <c r="T30" s="63">
        <f>IF(Q30="PS",H30,0)</f>
        <v>0</v>
      </c>
      <c r="U30" s="63">
        <f>IF(Q30="PS",I30-P30,0)</f>
        <v>0</v>
      </c>
      <c r="V30" s="63">
        <f>IF(Q30="MP",H30,0)</f>
        <v>0</v>
      </c>
      <c r="W30" s="63">
        <f>IF(Q30="MP",I30-P30,0)</f>
        <v>0</v>
      </c>
      <c r="X30" s="63">
        <f>IF(Q30="OM",H30,0)</f>
        <v>0</v>
      </c>
      <c r="Y30" s="50"/>
      <c r="AI30" s="63">
        <f>SUM(Z31:Z31)</f>
        <v>0</v>
      </c>
      <c r="AJ30" s="63">
        <f>SUM(AA31:AA31)</f>
        <v>0</v>
      </c>
      <c r="AK30" s="63">
        <f>SUM(AB31:AB31)</f>
        <v>0</v>
      </c>
    </row>
    <row r="31" spans="1:32" ht="12.75">
      <c r="A31" s="10" t="s">
        <v>18</v>
      </c>
      <c r="B31" s="10"/>
      <c r="C31" s="10" t="s">
        <v>75</v>
      </c>
      <c r="D31" s="10" t="s">
        <v>147</v>
      </c>
      <c r="E31" s="10" t="s">
        <v>206</v>
      </c>
      <c r="F31" s="33">
        <v>7.64</v>
      </c>
      <c r="H31" s="33">
        <f>ROUND(F31*AE31,2)</f>
        <v>0</v>
      </c>
      <c r="I31" s="33">
        <f>J31-H31</f>
        <v>0</v>
      </c>
      <c r="J31" s="33">
        <f>ROUND(F31*G31,2)</f>
        <v>0</v>
      </c>
      <c r="K31" s="33">
        <v>0.0052</v>
      </c>
      <c r="L31" s="33">
        <f>F31*K31</f>
        <v>0.039728</v>
      </c>
      <c r="M31" s="56" t="s">
        <v>231</v>
      </c>
      <c r="N31" s="56" t="s">
        <v>7</v>
      </c>
      <c r="O31" s="33">
        <f>IF(N31="5",I31,0)</f>
        <v>0</v>
      </c>
      <c r="Z31" s="33">
        <f>IF(AD31=0,J31,0)</f>
        <v>0</v>
      </c>
      <c r="AA31" s="33">
        <f>IF(AD31=15,J31,0)</f>
        <v>0</v>
      </c>
      <c r="AB31" s="33">
        <f>IF(AD31=21,J31,0)</f>
        <v>0</v>
      </c>
      <c r="AD31" s="61">
        <v>15</v>
      </c>
      <c r="AE31" s="61">
        <f>G31*0.0422</f>
        <v>0</v>
      </c>
      <c r="AF31" s="61">
        <f>G31*(1-0.0422)</f>
        <v>0</v>
      </c>
    </row>
    <row r="32" spans="1:37" ht="12.75">
      <c r="A32" s="11"/>
      <c r="B32" s="24"/>
      <c r="C32" s="24" t="s">
        <v>76</v>
      </c>
      <c r="D32" s="24" t="s">
        <v>148</v>
      </c>
      <c r="E32" s="31"/>
      <c r="F32" s="31"/>
      <c r="G32" s="31"/>
      <c r="H32" s="63">
        <f>SUM(H33:H33)</f>
        <v>0</v>
      </c>
      <c r="I32" s="63">
        <f>SUM(I33:I33)</f>
        <v>0</v>
      </c>
      <c r="J32" s="63">
        <f>H32+I32</f>
        <v>0</v>
      </c>
      <c r="K32" s="50"/>
      <c r="L32" s="63">
        <f>SUM(L33:L33)</f>
        <v>0.04512</v>
      </c>
      <c r="M32" s="50"/>
      <c r="P32" s="63">
        <f>IF(Q32="PR",J32,SUM(O33:O33))</f>
        <v>0</v>
      </c>
      <c r="Q32" s="50" t="s">
        <v>235</v>
      </c>
      <c r="R32" s="63">
        <f>IF(Q32="HS",H32,0)</f>
        <v>0</v>
      </c>
      <c r="S32" s="63">
        <f>IF(Q32="HS",I32-P32,0)</f>
        <v>0</v>
      </c>
      <c r="T32" s="63">
        <f>IF(Q32="PS",H32,0)</f>
        <v>0</v>
      </c>
      <c r="U32" s="63">
        <f>IF(Q32="PS",I32-P32,0)</f>
        <v>0</v>
      </c>
      <c r="V32" s="63">
        <f>IF(Q32="MP",H32,0)</f>
        <v>0</v>
      </c>
      <c r="W32" s="63">
        <f>IF(Q32="MP",I32-P32,0)</f>
        <v>0</v>
      </c>
      <c r="X32" s="63">
        <f>IF(Q32="OM",H32,0)</f>
        <v>0</v>
      </c>
      <c r="Y32" s="50"/>
      <c r="AI32" s="63">
        <f>SUM(Z33:Z33)</f>
        <v>0</v>
      </c>
      <c r="AJ32" s="63">
        <f>SUM(AA33:AA33)</f>
        <v>0</v>
      </c>
      <c r="AK32" s="63">
        <f>SUM(AB33:AB33)</f>
        <v>0</v>
      </c>
    </row>
    <row r="33" spans="1:32" ht="12.75">
      <c r="A33" s="10" t="s">
        <v>19</v>
      </c>
      <c r="B33" s="10"/>
      <c r="C33" s="10" t="s">
        <v>77</v>
      </c>
      <c r="D33" s="10" t="s">
        <v>149</v>
      </c>
      <c r="E33" s="10" t="s">
        <v>206</v>
      </c>
      <c r="F33" s="33">
        <v>5.64</v>
      </c>
      <c r="H33" s="33">
        <f>ROUND(F33*AE33,2)</f>
        <v>0</v>
      </c>
      <c r="I33" s="33">
        <f>J33-H33</f>
        <v>0</v>
      </c>
      <c r="J33" s="33">
        <f>ROUND(F33*G33,2)</f>
        <v>0</v>
      </c>
      <c r="K33" s="33">
        <v>0.008</v>
      </c>
      <c r="L33" s="33">
        <f>F33*K33</f>
        <v>0.04512</v>
      </c>
      <c r="M33" s="56" t="s">
        <v>231</v>
      </c>
      <c r="N33" s="56" t="s">
        <v>7</v>
      </c>
      <c r="O33" s="33">
        <f>IF(N33="5",I33,0)</f>
        <v>0</v>
      </c>
      <c r="Z33" s="33">
        <f>IF(AD33=0,J33,0)</f>
        <v>0</v>
      </c>
      <c r="AA33" s="33">
        <f>IF(AD33=15,J33,0)</f>
        <v>0</v>
      </c>
      <c r="AB33" s="33">
        <f>IF(AD33=21,J33,0)</f>
        <v>0</v>
      </c>
      <c r="AD33" s="61">
        <v>15</v>
      </c>
      <c r="AE33" s="61">
        <f>G33*0.575969962453066</f>
        <v>0</v>
      </c>
      <c r="AF33" s="61">
        <f>G33*(1-0.575969962453066)</f>
        <v>0</v>
      </c>
    </row>
    <row r="34" spans="1:37" ht="12.75">
      <c r="A34" s="11"/>
      <c r="B34" s="24"/>
      <c r="C34" s="24" t="s">
        <v>78</v>
      </c>
      <c r="D34" s="24" t="s">
        <v>150</v>
      </c>
      <c r="E34" s="31"/>
      <c r="F34" s="31"/>
      <c r="G34" s="31"/>
      <c r="H34" s="63">
        <f>SUM(H35:H36)</f>
        <v>0</v>
      </c>
      <c r="I34" s="63">
        <f>SUM(I35:I36)</f>
        <v>0</v>
      </c>
      <c r="J34" s="63">
        <f>H34+I34</f>
        <v>0</v>
      </c>
      <c r="K34" s="50"/>
      <c r="L34" s="63">
        <f>SUM(L35:L36)</f>
        <v>17.8667473</v>
      </c>
      <c r="M34" s="50"/>
      <c r="P34" s="63">
        <f>IF(Q34="PR",J34,SUM(O35:O36))</f>
        <v>0</v>
      </c>
      <c r="Q34" s="50" t="s">
        <v>235</v>
      </c>
      <c r="R34" s="63">
        <f>IF(Q34="HS",H34,0)</f>
        <v>0</v>
      </c>
      <c r="S34" s="63">
        <f>IF(Q34="HS",I34-P34,0)</f>
        <v>0</v>
      </c>
      <c r="T34" s="63">
        <f>IF(Q34="PS",H34,0)</f>
        <v>0</v>
      </c>
      <c r="U34" s="63">
        <f>IF(Q34="PS",I34-P34,0)</f>
        <v>0</v>
      </c>
      <c r="V34" s="63">
        <f>IF(Q34="MP",H34,0)</f>
        <v>0</v>
      </c>
      <c r="W34" s="63">
        <f>IF(Q34="MP",I34-P34,0)</f>
        <v>0</v>
      </c>
      <c r="X34" s="63">
        <f>IF(Q34="OM",H34,0)</f>
        <v>0</v>
      </c>
      <c r="Y34" s="50"/>
      <c r="AI34" s="63">
        <f>SUM(Z35:Z36)</f>
        <v>0</v>
      </c>
      <c r="AJ34" s="63">
        <f>SUM(AA35:AA36)</f>
        <v>0</v>
      </c>
      <c r="AK34" s="63">
        <f>SUM(AB35:AB36)</f>
        <v>0</v>
      </c>
    </row>
    <row r="35" spans="1:32" ht="12.75">
      <c r="A35" s="10" t="s">
        <v>20</v>
      </c>
      <c r="B35" s="10"/>
      <c r="C35" s="10" t="s">
        <v>79</v>
      </c>
      <c r="D35" s="10" t="s">
        <v>151</v>
      </c>
      <c r="E35" s="10" t="s">
        <v>206</v>
      </c>
      <c r="F35" s="33">
        <v>32.74</v>
      </c>
      <c r="H35" s="33">
        <f>ROUND(F35*AE35,2)</f>
        <v>0</v>
      </c>
      <c r="I35" s="33">
        <f>J35-H35</f>
        <v>0</v>
      </c>
      <c r="J35" s="33">
        <f>ROUND(F35*G35,2)</f>
        <v>0</v>
      </c>
      <c r="K35" s="33">
        <v>0.27827</v>
      </c>
      <c r="L35" s="33">
        <f>F35*K35</f>
        <v>9.1105598</v>
      </c>
      <c r="M35" s="56" t="s">
        <v>231</v>
      </c>
      <c r="N35" s="56" t="s">
        <v>7</v>
      </c>
      <c r="O35" s="33">
        <f>IF(N35="5",I35,0)</f>
        <v>0</v>
      </c>
      <c r="Z35" s="33">
        <f>IF(AD35=0,J35,0)</f>
        <v>0</v>
      </c>
      <c r="AA35" s="33">
        <f>IF(AD35=15,J35,0)</f>
        <v>0</v>
      </c>
      <c r="AB35" s="33">
        <f>IF(AD35=21,J35,0)</f>
        <v>0</v>
      </c>
      <c r="AD35" s="61">
        <v>15</v>
      </c>
      <c r="AE35" s="61">
        <f>G35*0.749758069106848</f>
        <v>0</v>
      </c>
      <c r="AF35" s="61">
        <f>G35*(1-0.749758069106848)</f>
        <v>0</v>
      </c>
    </row>
    <row r="36" spans="1:32" ht="12.75">
      <c r="A36" s="10" t="s">
        <v>21</v>
      </c>
      <c r="B36" s="10"/>
      <c r="C36" s="10" t="s">
        <v>80</v>
      </c>
      <c r="D36" s="10" t="s">
        <v>152</v>
      </c>
      <c r="E36" s="10" t="s">
        <v>206</v>
      </c>
      <c r="F36" s="33">
        <v>36.25</v>
      </c>
      <c r="H36" s="33">
        <f>ROUND(F36*AE36,2)</f>
        <v>0</v>
      </c>
      <c r="I36" s="33">
        <f>J36-H36</f>
        <v>0</v>
      </c>
      <c r="J36" s="33">
        <f>ROUND(F36*G36,2)</f>
        <v>0</v>
      </c>
      <c r="K36" s="33">
        <v>0.24155</v>
      </c>
      <c r="L36" s="33">
        <f>F36*K36</f>
        <v>8.7561875</v>
      </c>
      <c r="M36" s="56" t="s">
        <v>231</v>
      </c>
      <c r="N36" s="56" t="s">
        <v>7</v>
      </c>
      <c r="O36" s="33">
        <f>IF(N36="5",I36,0)</f>
        <v>0</v>
      </c>
      <c r="Z36" s="33">
        <f>IF(AD36=0,J36,0)</f>
        <v>0</v>
      </c>
      <c r="AA36" s="33">
        <f>IF(AD36=15,J36,0)</f>
        <v>0</v>
      </c>
      <c r="AB36" s="33">
        <f>IF(AD36=21,J36,0)</f>
        <v>0</v>
      </c>
      <c r="AD36" s="61">
        <v>15</v>
      </c>
      <c r="AE36" s="61">
        <f>G36*0.633807673739626</f>
        <v>0</v>
      </c>
      <c r="AF36" s="61">
        <f>G36*(1-0.633807673739626)</f>
        <v>0</v>
      </c>
    </row>
    <row r="37" spans="1:37" ht="12.75">
      <c r="A37" s="11"/>
      <c r="B37" s="24"/>
      <c r="C37" s="24" t="s">
        <v>81</v>
      </c>
      <c r="D37" s="24" t="s">
        <v>153</v>
      </c>
      <c r="E37" s="31"/>
      <c r="F37" s="31"/>
      <c r="G37" s="31"/>
      <c r="H37" s="63">
        <f>SUM(H38:H38)</f>
        <v>0</v>
      </c>
      <c r="I37" s="63">
        <f>SUM(I38:I38)</f>
        <v>0</v>
      </c>
      <c r="J37" s="63">
        <f>H37+I37</f>
        <v>0</v>
      </c>
      <c r="K37" s="50"/>
      <c r="L37" s="63">
        <f>SUM(L38:L38)</f>
        <v>0.00236</v>
      </c>
      <c r="M37" s="50"/>
      <c r="P37" s="63">
        <f>IF(Q37="PR",J37,SUM(O38:O38))</f>
        <v>0</v>
      </c>
      <c r="Q37" s="50" t="s">
        <v>236</v>
      </c>
      <c r="R37" s="63">
        <f>IF(Q37="HS",H37,0)</f>
        <v>0</v>
      </c>
      <c r="S37" s="63">
        <f>IF(Q37="HS",I37-P37,0)</f>
        <v>0</v>
      </c>
      <c r="T37" s="63">
        <f>IF(Q37="PS",H37,0)</f>
        <v>0</v>
      </c>
      <c r="U37" s="63">
        <f>IF(Q37="PS",I37-P37,0)</f>
        <v>0</v>
      </c>
      <c r="V37" s="63">
        <f>IF(Q37="MP",H37,0)</f>
        <v>0</v>
      </c>
      <c r="W37" s="63">
        <f>IF(Q37="MP",I37-P37,0)</f>
        <v>0</v>
      </c>
      <c r="X37" s="63">
        <f>IF(Q37="OM",H37,0)</f>
        <v>0</v>
      </c>
      <c r="Y37" s="50"/>
      <c r="AI37" s="63">
        <f>SUM(Z38:Z38)</f>
        <v>0</v>
      </c>
      <c r="AJ37" s="63">
        <f>SUM(AA38:AA38)</f>
        <v>0</v>
      </c>
      <c r="AK37" s="63">
        <f>SUM(AB38:AB38)</f>
        <v>0</v>
      </c>
    </row>
    <row r="38" spans="1:32" ht="12.75">
      <c r="A38" s="10" t="s">
        <v>22</v>
      </c>
      <c r="B38" s="10"/>
      <c r="C38" s="10" t="s">
        <v>82</v>
      </c>
      <c r="D38" s="10" t="s">
        <v>154</v>
      </c>
      <c r="E38" s="10" t="s">
        <v>206</v>
      </c>
      <c r="F38" s="33">
        <v>29.5</v>
      </c>
      <c r="H38" s="33">
        <f>ROUND(F38*AE38,2)</f>
        <v>0</v>
      </c>
      <c r="I38" s="33">
        <f>J38-H38</f>
        <v>0</v>
      </c>
      <c r="J38" s="33">
        <f>ROUND(F38*G38,2)</f>
        <v>0</v>
      </c>
      <c r="K38" s="33">
        <v>8E-05</v>
      </c>
      <c r="L38" s="33">
        <f>F38*K38</f>
        <v>0.00236</v>
      </c>
      <c r="M38" s="56" t="s">
        <v>231</v>
      </c>
      <c r="N38" s="56" t="s">
        <v>7</v>
      </c>
      <c r="O38" s="33">
        <f>IF(N38="5",I38,0)</f>
        <v>0</v>
      </c>
      <c r="Z38" s="33">
        <f>IF(AD38=0,J38,0)</f>
        <v>0</v>
      </c>
      <c r="AA38" s="33">
        <f>IF(AD38=15,J38,0)</f>
        <v>0</v>
      </c>
      <c r="AB38" s="33">
        <f>IF(AD38=21,J38,0)</f>
        <v>0</v>
      </c>
      <c r="AD38" s="61">
        <v>15</v>
      </c>
      <c r="AE38" s="61">
        <f>G38*0.415189189189189</f>
        <v>0</v>
      </c>
      <c r="AF38" s="61">
        <f>G38*(1-0.415189189189189)</f>
        <v>0</v>
      </c>
    </row>
    <row r="39" spans="1:37" ht="12.75">
      <c r="A39" s="11"/>
      <c r="B39" s="24"/>
      <c r="C39" s="24" t="s">
        <v>83</v>
      </c>
      <c r="D39" s="24" t="s">
        <v>155</v>
      </c>
      <c r="E39" s="31"/>
      <c r="F39" s="31"/>
      <c r="G39" s="31"/>
      <c r="H39" s="63">
        <f>SUM(H40:H42)</f>
        <v>0</v>
      </c>
      <c r="I39" s="63">
        <f>SUM(I40:I42)</f>
        <v>0</v>
      </c>
      <c r="J39" s="63">
        <f>H39+I39</f>
        <v>0</v>
      </c>
      <c r="K39" s="50"/>
      <c r="L39" s="63">
        <f>SUM(L40:L42)</f>
        <v>0.048642099999999994</v>
      </c>
      <c r="M39" s="50"/>
      <c r="P39" s="63">
        <f>IF(Q39="PR",J39,SUM(O40:O42))</f>
        <v>0</v>
      </c>
      <c r="Q39" s="50" t="s">
        <v>236</v>
      </c>
      <c r="R39" s="63">
        <f>IF(Q39="HS",H39,0)</f>
        <v>0</v>
      </c>
      <c r="S39" s="63">
        <f>IF(Q39="HS",I39-P39,0)</f>
        <v>0</v>
      </c>
      <c r="T39" s="63">
        <f>IF(Q39="PS",H39,0)</f>
        <v>0</v>
      </c>
      <c r="U39" s="63">
        <f>IF(Q39="PS",I39-P39,0)</f>
        <v>0</v>
      </c>
      <c r="V39" s="63">
        <f>IF(Q39="MP",H39,0)</f>
        <v>0</v>
      </c>
      <c r="W39" s="63">
        <f>IF(Q39="MP",I39-P39,0)</f>
        <v>0</v>
      </c>
      <c r="X39" s="63">
        <f>IF(Q39="OM",H39,0)</f>
        <v>0</v>
      </c>
      <c r="Y39" s="50"/>
      <c r="AI39" s="63">
        <f>SUM(Z40:Z42)</f>
        <v>0</v>
      </c>
      <c r="AJ39" s="63">
        <f>SUM(AA40:AA42)</f>
        <v>0</v>
      </c>
      <c r="AK39" s="63">
        <f>SUM(AB40:AB42)</f>
        <v>0</v>
      </c>
    </row>
    <row r="40" spans="1:32" ht="12.75">
      <c r="A40" s="10" t="s">
        <v>23</v>
      </c>
      <c r="B40" s="10"/>
      <c r="C40" s="10" t="s">
        <v>84</v>
      </c>
      <c r="D40" s="10" t="s">
        <v>156</v>
      </c>
      <c r="E40" s="10" t="s">
        <v>207</v>
      </c>
      <c r="F40" s="33">
        <v>5.2</v>
      </c>
      <c r="H40" s="33">
        <f>ROUND(F40*AE40,2)</f>
        <v>0</v>
      </c>
      <c r="I40" s="33">
        <f>J40-H40</f>
        <v>0</v>
      </c>
      <c r="J40" s="33">
        <f>ROUND(F40*G40,2)</f>
        <v>0</v>
      </c>
      <c r="K40" s="33">
        <v>0.00181</v>
      </c>
      <c r="L40" s="33">
        <f>F40*K40</f>
        <v>0.009412</v>
      </c>
      <c r="M40" s="56" t="s">
        <v>231</v>
      </c>
      <c r="N40" s="56" t="s">
        <v>9</v>
      </c>
      <c r="O40" s="33">
        <f>IF(N40="5",I40,0)</f>
        <v>0</v>
      </c>
      <c r="Z40" s="33">
        <f>IF(AD40=0,J40,0)</f>
        <v>0</v>
      </c>
      <c r="AA40" s="33">
        <f>IF(AD40=15,J40,0)</f>
        <v>0</v>
      </c>
      <c r="AB40" s="33">
        <f>IF(AD40=21,J40,0)</f>
        <v>0</v>
      </c>
      <c r="AD40" s="61">
        <v>15</v>
      </c>
      <c r="AE40" s="61">
        <f>G40*0</f>
        <v>0</v>
      </c>
      <c r="AF40" s="61">
        <f>G40*(1-0)</f>
        <v>0</v>
      </c>
    </row>
    <row r="41" spans="1:32" ht="12.75">
      <c r="A41" s="12" t="s">
        <v>24</v>
      </c>
      <c r="B41" s="12"/>
      <c r="C41" s="12" t="s">
        <v>85</v>
      </c>
      <c r="D41" s="12" t="s">
        <v>157</v>
      </c>
      <c r="E41" s="12" t="s">
        <v>207</v>
      </c>
      <c r="F41" s="34">
        <v>14.37</v>
      </c>
      <c r="H41" s="34">
        <f>ROUND(F41*AE41,2)</f>
        <v>0</v>
      </c>
      <c r="I41" s="34">
        <f>J41-H41</f>
        <v>0</v>
      </c>
      <c r="J41" s="34">
        <f>ROUND(F41*G41,2)</f>
        <v>0</v>
      </c>
      <c r="K41" s="34">
        <v>0.0018</v>
      </c>
      <c r="L41" s="34">
        <f>F41*K41</f>
        <v>0.025865999999999997</v>
      </c>
      <c r="M41" s="57" t="s">
        <v>231</v>
      </c>
      <c r="N41" s="57" t="s">
        <v>232</v>
      </c>
      <c r="O41" s="34">
        <f>IF(N41="5",I41,0)</f>
        <v>0</v>
      </c>
      <c r="Z41" s="34">
        <f>IF(AD41=0,J41,0)</f>
        <v>0</v>
      </c>
      <c r="AA41" s="34">
        <f>IF(AD41=15,J41,0)</f>
        <v>0</v>
      </c>
      <c r="AB41" s="34">
        <f>IF(AD41=21,J41,0)</f>
        <v>0</v>
      </c>
      <c r="AD41" s="61">
        <v>15</v>
      </c>
      <c r="AE41" s="61">
        <f>G41*1</f>
        <v>0</v>
      </c>
      <c r="AF41" s="61">
        <f>G41*(1-1)</f>
        <v>0</v>
      </c>
    </row>
    <row r="42" spans="1:32" ht="12.75">
      <c r="A42" s="10" t="s">
        <v>25</v>
      </c>
      <c r="B42" s="10"/>
      <c r="C42" s="10" t="s">
        <v>86</v>
      </c>
      <c r="D42" s="10" t="s">
        <v>158</v>
      </c>
      <c r="E42" s="10" t="s">
        <v>207</v>
      </c>
      <c r="F42" s="33">
        <v>14.37</v>
      </c>
      <c r="H42" s="33">
        <f>ROUND(F42*AE42,2)</f>
        <v>0</v>
      </c>
      <c r="I42" s="33">
        <f>J42-H42</f>
        <v>0</v>
      </c>
      <c r="J42" s="33">
        <f>ROUND(F42*G42,2)</f>
        <v>0</v>
      </c>
      <c r="K42" s="33">
        <v>0.00093</v>
      </c>
      <c r="L42" s="33">
        <f>F42*K42</f>
        <v>0.0133641</v>
      </c>
      <c r="M42" s="56" t="s">
        <v>231</v>
      </c>
      <c r="N42" s="56" t="s">
        <v>7</v>
      </c>
      <c r="O42" s="33">
        <f>IF(N42="5",I42,0)</f>
        <v>0</v>
      </c>
      <c r="Z42" s="33">
        <f>IF(AD42=0,J42,0)</f>
        <v>0</v>
      </c>
      <c r="AA42" s="33">
        <f>IF(AD42=15,J42,0)</f>
        <v>0</v>
      </c>
      <c r="AB42" s="33">
        <f>IF(AD42=21,J42,0)</f>
        <v>0</v>
      </c>
      <c r="AD42" s="61">
        <v>15</v>
      </c>
      <c r="AE42" s="61">
        <f>G42*0.0546324759718277</f>
        <v>0</v>
      </c>
      <c r="AF42" s="61">
        <f>G42*(1-0.0546324759718277)</f>
        <v>0</v>
      </c>
    </row>
    <row r="43" spans="1:37" ht="12.75">
      <c r="A43" s="11"/>
      <c r="B43" s="24"/>
      <c r="C43" s="24" t="s">
        <v>87</v>
      </c>
      <c r="D43" s="24" t="s">
        <v>159</v>
      </c>
      <c r="E43" s="31"/>
      <c r="F43" s="31"/>
      <c r="G43" s="31"/>
      <c r="H43" s="63">
        <f>SUM(H44:H47)</f>
        <v>0</v>
      </c>
      <c r="I43" s="63">
        <f>SUM(I44:I47)</f>
        <v>0</v>
      </c>
      <c r="J43" s="63">
        <f>H43+I43</f>
        <v>0</v>
      </c>
      <c r="K43" s="50"/>
      <c r="L43" s="63">
        <f>SUM(L44:L47)</f>
        <v>0.04709909999999999</v>
      </c>
      <c r="M43" s="50"/>
      <c r="P43" s="63">
        <f>IF(Q43="PR",J43,SUM(O44:O47))</f>
        <v>0</v>
      </c>
      <c r="Q43" s="50" t="s">
        <v>236</v>
      </c>
      <c r="R43" s="63">
        <f>IF(Q43="HS",H43,0)</f>
        <v>0</v>
      </c>
      <c r="S43" s="63">
        <f>IF(Q43="HS",I43-P43,0)</f>
        <v>0</v>
      </c>
      <c r="T43" s="63">
        <f>IF(Q43="PS",H43,0)</f>
        <v>0</v>
      </c>
      <c r="U43" s="63">
        <f>IF(Q43="PS",I43-P43,0)</f>
        <v>0</v>
      </c>
      <c r="V43" s="63">
        <f>IF(Q43="MP",H43,0)</f>
        <v>0</v>
      </c>
      <c r="W43" s="63">
        <f>IF(Q43="MP",I43-P43,0)</f>
        <v>0</v>
      </c>
      <c r="X43" s="63">
        <f>IF(Q43="OM",H43,0)</f>
        <v>0</v>
      </c>
      <c r="Y43" s="50"/>
      <c r="AI43" s="63">
        <f>SUM(Z44:Z47)</f>
        <v>0</v>
      </c>
      <c r="AJ43" s="63">
        <f>SUM(AA44:AA47)</f>
        <v>0</v>
      </c>
      <c r="AK43" s="63">
        <f>SUM(AB44:AB47)</f>
        <v>0</v>
      </c>
    </row>
    <row r="44" spans="1:32" ht="12.75">
      <c r="A44" s="10" t="s">
        <v>26</v>
      </c>
      <c r="B44" s="10"/>
      <c r="C44" s="10" t="s">
        <v>88</v>
      </c>
      <c r="D44" s="10" t="s">
        <v>160</v>
      </c>
      <c r="E44" s="10" t="s">
        <v>210</v>
      </c>
      <c r="F44" s="33">
        <v>6</v>
      </c>
      <c r="H44" s="33">
        <f>ROUND(F44*AE44,2)</f>
        <v>0</v>
      </c>
      <c r="I44" s="33">
        <f>J44-H44</f>
        <v>0</v>
      </c>
      <c r="J44" s="33">
        <f>ROUND(F44*G44,2)</f>
        <v>0</v>
      </c>
      <c r="K44" s="33">
        <v>0.0012</v>
      </c>
      <c r="L44" s="33">
        <f>F44*K44</f>
        <v>0.0072</v>
      </c>
      <c r="M44" s="56" t="s">
        <v>231</v>
      </c>
      <c r="N44" s="56" t="s">
        <v>7</v>
      </c>
      <c r="O44" s="33">
        <f>IF(N44="5",I44,0)</f>
        <v>0</v>
      </c>
      <c r="Z44" s="33">
        <f>IF(AD44=0,J44,0)</f>
        <v>0</v>
      </c>
      <c r="AA44" s="33">
        <f>IF(AD44=15,J44,0)</f>
        <v>0</v>
      </c>
      <c r="AB44" s="33">
        <f>IF(AD44=21,J44,0)</f>
        <v>0</v>
      </c>
      <c r="AD44" s="61">
        <v>15</v>
      </c>
      <c r="AE44" s="61">
        <f>G44*0.124138148822619</f>
        <v>0</v>
      </c>
      <c r="AF44" s="61">
        <f>G44*(1-0.124138148822619)</f>
        <v>0</v>
      </c>
    </row>
    <row r="45" spans="1:32" ht="12.75">
      <c r="A45" s="10" t="s">
        <v>27</v>
      </c>
      <c r="B45" s="10"/>
      <c r="C45" s="10" t="s">
        <v>89</v>
      </c>
      <c r="D45" s="10" t="s">
        <v>161</v>
      </c>
      <c r="E45" s="10" t="s">
        <v>210</v>
      </c>
      <c r="F45" s="33">
        <v>2</v>
      </c>
      <c r="H45" s="33">
        <f>ROUND(F45*AE45,2)</f>
        <v>0</v>
      </c>
      <c r="I45" s="33">
        <f>J45-H45</f>
        <v>0</v>
      </c>
      <c r="J45" s="33">
        <f>ROUND(F45*G45,2)</f>
        <v>0</v>
      </c>
      <c r="K45" s="33">
        <v>0.00165</v>
      </c>
      <c r="L45" s="33">
        <f>F45*K45</f>
        <v>0.0033</v>
      </c>
      <c r="M45" s="56" t="s">
        <v>231</v>
      </c>
      <c r="N45" s="56" t="s">
        <v>7</v>
      </c>
      <c r="O45" s="33">
        <f>IF(N45="5",I45,0)</f>
        <v>0</v>
      </c>
      <c r="Z45" s="33">
        <f>IF(AD45=0,J45,0)</f>
        <v>0</v>
      </c>
      <c r="AA45" s="33">
        <f>IF(AD45=15,J45,0)</f>
        <v>0</v>
      </c>
      <c r="AB45" s="33">
        <f>IF(AD45=21,J45,0)</f>
        <v>0</v>
      </c>
      <c r="AD45" s="61">
        <v>15</v>
      </c>
      <c r="AE45" s="61">
        <f>G45*0.155127272727273</f>
        <v>0</v>
      </c>
      <c r="AF45" s="61">
        <f>G45*(1-0.155127272727273)</f>
        <v>0</v>
      </c>
    </row>
    <row r="46" spans="1:32" ht="12.75">
      <c r="A46" s="10" t="s">
        <v>28</v>
      </c>
      <c r="B46" s="10"/>
      <c r="C46" s="10" t="s">
        <v>90</v>
      </c>
      <c r="D46" s="10" t="s">
        <v>162</v>
      </c>
      <c r="E46" s="10" t="s">
        <v>210</v>
      </c>
      <c r="F46" s="33">
        <v>1</v>
      </c>
      <c r="H46" s="33">
        <f>ROUND(F46*AE46,2)</f>
        <v>0</v>
      </c>
      <c r="I46" s="33">
        <f>J46-H46</f>
        <v>0</v>
      </c>
      <c r="J46" s="33">
        <f>ROUND(F46*G46,2)</f>
        <v>0</v>
      </c>
      <c r="K46" s="33">
        <v>0.00168</v>
      </c>
      <c r="L46" s="33">
        <f>F46*K46</f>
        <v>0.00168</v>
      </c>
      <c r="M46" s="56" t="s">
        <v>231</v>
      </c>
      <c r="N46" s="56" t="s">
        <v>7</v>
      </c>
      <c r="O46" s="33">
        <f>IF(N46="5",I46,0)</f>
        <v>0</v>
      </c>
      <c r="Z46" s="33">
        <f>IF(AD46=0,J46,0)</f>
        <v>0</v>
      </c>
      <c r="AA46" s="33">
        <f>IF(AD46=15,J46,0)</f>
        <v>0</v>
      </c>
      <c r="AB46" s="33">
        <f>IF(AD46=21,J46,0)</f>
        <v>0</v>
      </c>
      <c r="AD46" s="61">
        <v>15</v>
      </c>
      <c r="AE46" s="61">
        <f>G46*0.170772607550483</f>
        <v>0</v>
      </c>
      <c r="AF46" s="61">
        <f>G46*(1-0.170772607550483)</f>
        <v>0</v>
      </c>
    </row>
    <row r="47" spans="1:32" ht="12.75">
      <c r="A47" s="12" t="s">
        <v>29</v>
      </c>
      <c r="B47" s="12"/>
      <c r="C47" s="12" t="s">
        <v>91</v>
      </c>
      <c r="D47" s="12" t="s">
        <v>163</v>
      </c>
      <c r="E47" s="12" t="s">
        <v>207</v>
      </c>
      <c r="F47" s="34">
        <v>14.37</v>
      </c>
      <c r="H47" s="34">
        <f>ROUND(F47*AE47,2)</f>
        <v>0</v>
      </c>
      <c r="I47" s="34">
        <f>J47-H47</f>
        <v>0</v>
      </c>
      <c r="J47" s="34">
        <f>ROUND(F47*G47,2)</f>
        <v>0</v>
      </c>
      <c r="K47" s="34">
        <v>0.00243</v>
      </c>
      <c r="L47" s="34">
        <f>F47*K47</f>
        <v>0.034919099999999995</v>
      </c>
      <c r="M47" s="57" t="s">
        <v>231</v>
      </c>
      <c r="N47" s="57" t="s">
        <v>232</v>
      </c>
      <c r="O47" s="34">
        <f>IF(N47="5",I47,0)</f>
        <v>0</v>
      </c>
      <c r="Z47" s="34">
        <f>IF(AD47=0,J47,0)</f>
        <v>0</v>
      </c>
      <c r="AA47" s="34">
        <f>IF(AD47=15,J47,0)</f>
        <v>0</v>
      </c>
      <c r="AB47" s="34">
        <f>IF(AD47=21,J47,0)</f>
        <v>0</v>
      </c>
      <c r="AD47" s="61">
        <v>15</v>
      </c>
      <c r="AE47" s="61">
        <f>G47*1</f>
        <v>0</v>
      </c>
      <c r="AF47" s="61">
        <f>G47*(1-1)</f>
        <v>0</v>
      </c>
    </row>
    <row r="48" spans="1:37" ht="12.75">
      <c r="A48" s="11"/>
      <c r="B48" s="24"/>
      <c r="C48" s="24" t="s">
        <v>92</v>
      </c>
      <c r="D48" s="24" t="s">
        <v>164</v>
      </c>
      <c r="E48" s="31"/>
      <c r="F48" s="31"/>
      <c r="G48" s="31"/>
      <c r="H48" s="63">
        <f>SUM(H49:H51)</f>
        <v>0</v>
      </c>
      <c r="I48" s="63">
        <f>SUM(I49:I51)</f>
        <v>0</v>
      </c>
      <c r="J48" s="63">
        <f>H48+I48</f>
        <v>0</v>
      </c>
      <c r="K48" s="50"/>
      <c r="L48" s="63">
        <f>SUM(L49:L51)</f>
        <v>0.10600000000000001</v>
      </c>
      <c r="M48" s="50"/>
      <c r="P48" s="63">
        <f>IF(Q48="PR",J48,SUM(O49:O51))</f>
        <v>0</v>
      </c>
      <c r="Q48" s="50" t="s">
        <v>236</v>
      </c>
      <c r="R48" s="63">
        <f>IF(Q48="HS",H48,0)</f>
        <v>0</v>
      </c>
      <c r="S48" s="63">
        <f>IF(Q48="HS",I48-P48,0)</f>
        <v>0</v>
      </c>
      <c r="T48" s="63">
        <f>IF(Q48="PS",H48,0)</f>
        <v>0</v>
      </c>
      <c r="U48" s="63">
        <f>IF(Q48="PS",I48-P48,0)</f>
        <v>0</v>
      </c>
      <c r="V48" s="63">
        <f>IF(Q48="MP",H48,0)</f>
        <v>0</v>
      </c>
      <c r="W48" s="63">
        <f>IF(Q48="MP",I48-P48,0)</f>
        <v>0</v>
      </c>
      <c r="X48" s="63">
        <f>IF(Q48="OM",H48,0)</f>
        <v>0</v>
      </c>
      <c r="Y48" s="50"/>
      <c r="AI48" s="63">
        <f>SUM(Z49:Z51)</f>
        <v>0</v>
      </c>
      <c r="AJ48" s="63">
        <f>SUM(AA49:AA51)</f>
        <v>0</v>
      </c>
      <c r="AK48" s="63">
        <f>SUM(AB49:AB51)</f>
        <v>0</v>
      </c>
    </row>
    <row r="49" spans="1:32" ht="12.75">
      <c r="A49" s="10" t="s">
        <v>30</v>
      </c>
      <c r="B49" s="10"/>
      <c r="C49" s="10" t="s">
        <v>93</v>
      </c>
      <c r="D49" s="10" t="s">
        <v>165</v>
      </c>
      <c r="E49" s="10" t="s">
        <v>211</v>
      </c>
      <c r="F49" s="33">
        <v>100</v>
      </c>
      <c r="H49" s="33">
        <f>ROUND(F49*AE49,2)</f>
        <v>0</v>
      </c>
      <c r="I49" s="33">
        <f>J49-H49</f>
        <v>0</v>
      </c>
      <c r="J49" s="33">
        <f>ROUND(F49*G49,2)</f>
        <v>0</v>
      </c>
      <c r="K49" s="33">
        <v>0.001</v>
      </c>
      <c r="L49" s="33">
        <f>F49*K49</f>
        <v>0.1</v>
      </c>
      <c r="M49" s="56" t="s">
        <v>231</v>
      </c>
      <c r="N49" s="56" t="s">
        <v>7</v>
      </c>
      <c r="O49" s="33">
        <f>IF(N49="5",I49,0)</f>
        <v>0</v>
      </c>
      <c r="Z49" s="33">
        <f>IF(AD49=0,J49,0)</f>
        <v>0</v>
      </c>
      <c r="AA49" s="33">
        <f>IF(AD49=15,J49,0)</f>
        <v>0</v>
      </c>
      <c r="AB49" s="33">
        <f>IF(AD49=21,J49,0)</f>
        <v>0</v>
      </c>
      <c r="AD49" s="61">
        <v>15</v>
      </c>
      <c r="AE49" s="61">
        <f>G49*0.15141065830721</f>
        <v>0</v>
      </c>
      <c r="AF49" s="61">
        <f>G49*(1-0.15141065830721)</f>
        <v>0</v>
      </c>
    </row>
    <row r="50" spans="1:32" ht="12.75">
      <c r="A50" s="10" t="s">
        <v>31</v>
      </c>
      <c r="B50" s="10"/>
      <c r="C50" s="10" t="s">
        <v>94</v>
      </c>
      <c r="D50" s="10" t="s">
        <v>166</v>
      </c>
      <c r="E50" s="10" t="s">
        <v>211</v>
      </c>
      <c r="F50" s="33">
        <v>100</v>
      </c>
      <c r="H50" s="33">
        <f>ROUND(F50*AE50,2)</f>
        <v>0</v>
      </c>
      <c r="I50" s="33">
        <f>J50-H50</f>
        <v>0</v>
      </c>
      <c r="J50" s="33">
        <f>ROUND(F50*G50,2)</f>
        <v>0</v>
      </c>
      <c r="K50" s="33">
        <v>5E-05</v>
      </c>
      <c r="L50" s="33">
        <f>F50*K50</f>
        <v>0.005</v>
      </c>
      <c r="M50" s="56" t="s">
        <v>231</v>
      </c>
      <c r="N50" s="56" t="s">
        <v>7</v>
      </c>
      <c r="O50" s="33">
        <f>IF(N50="5",I50,0)</f>
        <v>0</v>
      </c>
      <c r="Z50" s="33">
        <f>IF(AD50=0,J50,0)</f>
        <v>0</v>
      </c>
      <c r="AA50" s="33">
        <f>IF(AD50=15,J50,0)</f>
        <v>0</v>
      </c>
      <c r="AB50" s="33">
        <f>IF(AD50=21,J50,0)</f>
        <v>0</v>
      </c>
      <c r="AD50" s="61">
        <v>15</v>
      </c>
      <c r="AE50" s="61">
        <f>G50*0.177358490566038</f>
        <v>0</v>
      </c>
      <c r="AF50" s="61">
        <f>G50*(1-0.177358490566038)</f>
        <v>0</v>
      </c>
    </row>
    <row r="51" spans="1:32" ht="12.75">
      <c r="A51" s="10" t="s">
        <v>32</v>
      </c>
      <c r="B51" s="10"/>
      <c r="C51" s="10" t="s">
        <v>94</v>
      </c>
      <c r="D51" s="10" t="s">
        <v>167</v>
      </c>
      <c r="E51" s="10" t="s">
        <v>211</v>
      </c>
      <c r="F51" s="33">
        <v>20</v>
      </c>
      <c r="H51" s="33">
        <f>ROUND(F51*AE51,2)</f>
        <v>0</v>
      </c>
      <c r="I51" s="33">
        <f>J51-H51</f>
        <v>0</v>
      </c>
      <c r="J51" s="33">
        <f>ROUND(F51*G51,2)</f>
        <v>0</v>
      </c>
      <c r="K51" s="33">
        <v>5E-05</v>
      </c>
      <c r="L51" s="33">
        <f>F51*K51</f>
        <v>0.001</v>
      </c>
      <c r="M51" s="56" t="s">
        <v>231</v>
      </c>
      <c r="N51" s="56" t="s">
        <v>7</v>
      </c>
      <c r="O51" s="33">
        <f>IF(N51="5",I51,0)</f>
        <v>0</v>
      </c>
      <c r="Z51" s="33">
        <f>IF(AD51=0,J51,0)</f>
        <v>0</v>
      </c>
      <c r="AA51" s="33">
        <f>IF(AD51=15,J51,0)</f>
        <v>0</v>
      </c>
      <c r="AB51" s="33">
        <f>IF(AD51=21,J51,0)</f>
        <v>0</v>
      </c>
      <c r="AD51" s="61">
        <v>15</v>
      </c>
      <c r="AE51" s="61">
        <f>G51*0.177358490566038</f>
        <v>0</v>
      </c>
      <c r="AF51" s="61">
        <f>G51*(1-0.177358490566038)</f>
        <v>0</v>
      </c>
    </row>
    <row r="52" spans="1:37" ht="12.75">
      <c r="A52" s="11"/>
      <c r="B52" s="24"/>
      <c r="C52" s="24" t="s">
        <v>95</v>
      </c>
      <c r="D52" s="24" t="s">
        <v>168</v>
      </c>
      <c r="E52" s="31"/>
      <c r="F52" s="31"/>
      <c r="G52" s="31"/>
      <c r="H52" s="63">
        <f>SUM(H53:H54)</f>
        <v>0</v>
      </c>
      <c r="I52" s="63">
        <f>SUM(I53:I54)</f>
        <v>0</v>
      </c>
      <c r="J52" s="63">
        <f>H52+I52</f>
        <v>0</v>
      </c>
      <c r="K52" s="50"/>
      <c r="L52" s="63">
        <f>SUM(L53:L54)</f>
        <v>0.000702</v>
      </c>
      <c r="M52" s="50"/>
      <c r="P52" s="63">
        <f>IF(Q52="PR",J52,SUM(O53:O54))</f>
        <v>0</v>
      </c>
      <c r="Q52" s="50" t="s">
        <v>236</v>
      </c>
      <c r="R52" s="63">
        <f>IF(Q52="HS",H52,0)</f>
        <v>0</v>
      </c>
      <c r="S52" s="63">
        <f>IF(Q52="HS",I52-P52,0)</f>
        <v>0</v>
      </c>
      <c r="T52" s="63">
        <f>IF(Q52="PS",H52,0)</f>
        <v>0</v>
      </c>
      <c r="U52" s="63">
        <f>IF(Q52="PS",I52-P52,0)</f>
        <v>0</v>
      </c>
      <c r="V52" s="63">
        <f>IF(Q52="MP",H52,0)</f>
        <v>0</v>
      </c>
      <c r="W52" s="63">
        <f>IF(Q52="MP",I52-P52,0)</f>
        <v>0</v>
      </c>
      <c r="X52" s="63">
        <f>IF(Q52="OM",H52,0)</f>
        <v>0</v>
      </c>
      <c r="Y52" s="50"/>
      <c r="AI52" s="63">
        <f>SUM(Z53:Z54)</f>
        <v>0</v>
      </c>
      <c r="AJ52" s="63">
        <f>SUM(AA53:AA54)</f>
        <v>0</v>
      </c>
      <c r="AK52" s="63">
        <f>SUM(AB53:AB54)</f>
        <v>0</v>
      </c>
    </row>
    <row r="53" spans="1:32" ht="12.75">
      <c r="A53" s="10" t="s">
        <v>33</v>
      </c>
      <c r="B53" s="10"/>
      <c r="C53" s="10" t="s">
        <v>96</v>
      </c>
      <c r="D53" s="10" t="s">
        <v>169</v>
      </c>
      <c r="E53" s="10" t="s">
        <v>206</v>
      </c>
      <c r="F53" s="33">
        <v>2.7</v>
      </c>
      <c r="H53" s="33">
        <f>ROUND(F53*AE53,2)</f>
        <v>0</v>
      </c>
      <c r="I53" s="33">
        <f>J53-H53</f>
        <v>0</v>
      </c>
      <c r="J53" s="33">
        <f>ROUND(F53*G53,2)</f>
        <v>0</v>
      </c>
      <c r="K53" s="33">
        <v>1E-05</v>
      </c>
      <c r="L53" s="33">
        <f>F53*K53</f>
        <v>2.7000000000000002E-05</v>
      </c>
      <c r="M53" s="56" t="s">
        <v>231</v>
      </c>
      <c r="N53" s="56" t="s">
        <v>7</v>
      </c>
      <c r="O53" s="33">
        <f>IF(N53="5",I53,0)</f>
        <v>0</v>
      </c>
      <c r="Z53" s="33">
        <f>IF(AD53=0,J53,0)</f>
        <v>0</v>
      </c>
      <c r="AA53" s="33">
        <f>IF(AD53=15,J53,0)</f>
        <v>0</v>
      </c>
      <c r="AB53" s="33">
        <f>IF(AD53=21,J53,0)</f>
        <v>0</v>
      </c>
      <c r="AD53" s="61">
        <v>15</v>
      </c>
      <c r="AE53" s="61">
        <f>G53*0.149279050042409</f>
        <v>0</v>
      </c>
      <c r="AF53" s="61">
        <f>G53*(1-0.149279050042409)</f>
        <v>0</v>
      </c>
    </row>
    <row r="54" spans="1:32" ht="12.75">
      <c r="A54" s="10" t="s">
        <v>34</v>
      </c>
      <c r="B54" s="10"/>
      <c r="C54" s="10" t="s">
        <v>97</v>
      </c>
      <c r="D54" s="10" t="s">
        <v>170</v>
      </c>
      <c r="E54" s="10" t="s">
        <v>206</v>
      </c>
      <c r="F54" s="33">
        <v>2.7</v>
      </c>
      <c r="H54" s="33">
        <f>ROUND(F54*AE54,2)</f>
        <v>0</v>
      </c>
      <c r="I54" s="33">
        <f>J54-H54</f>
        <v>0</v>
      </c>
      <c r="J54" s="33">
        <f>ROUND(F54*G54,2)</f>
        <v>0</v>
      </c>
      <c r="K54" s="33">
        <v>0.00025</v>
      </c>
      <c r="L54" s="33">
        <f>F54*K54</f>
        <v>0.000675</v>
      </c>
      <c r="M54" s="56" t="s">
        <v>231</v>
      </c>
      <c r="N54" s="56" t="s">
        <v>7</v>
      </c>
      <c r="O54" s="33">
        <f>IF(N54="5",I54,0)</f>
        <v>0</v>
      </c>
      <c r="Z54" s="33">
        <f>IF(AD54=0,J54,0)</f>
        <v>0</v>
      </c>
      <c r="AA54" s="33">
        <f>IF(AD54=15,J54,0)</f>
        <v>0</v>
      </c>
      <c r="AB54" s="33">
        <f>IF(AD54=21,J54,0)</f>
        <v>0</v>
      </c>
      <c r="AD54" s="61">
        <v>15</v>
      </c>
      <c r="AE54" s="61">
        <f>G54*0.388064516129032</f>
        <v>0</v>
      </c>
      <c r="AF54" s="61">
        <f>G54*(1-0.388064516129032)</f>
        <v>0</v>
      </c>
    </row>
    <row r="55" spans="1:37" ht="12.75">
      <c r="A55" s="11"/>
      <c r="B55" s="24"/>
      <c r="C55" s="24" t="s">
        <v>98</v>
      </c>
      <c r="D55" s="24" t="s">
        <v>171</v>
      </c>
      <c r="E55" s="31"/>
      <c r="F55" s="31"/>
      <c r="G55" s="31"/>
      <c r="H55" s="63">
        <f>SUM(H56:H56)</f>
        <v>0</v>
      </c>
      <c r="I55" s="63">
        <f>SUM(I56:I56)</f>
        <v>0</v>
      </c>
      <c r="J55" s="63">
        <f>H55+I55</f>
        <v>0</v>
      </c>
      <c r="K55" s="50"/>
      <c r="L55" s="63">
        <f>SUM(L56:L56)</f>
        <v>0.00166</v>
      </c>
      <c r="M55" s="50"/>
      <c r="P55" s="63">
        <f>IF(Q55="PR",J55,SUM(O56:O56))</f>
        <v>0</v>
      </c>
      <c r="Q55" s="50" t="s">
        <v>236</v>
      </c>
      <c r="R55" s="63">
        <f>IF(Q55="HS",H55,0)</f>
        <v>0</v>
      </c>
      <c r="S55" s="63">
        <f>IF(Q55="HS",I55-P55,0)</f>
        <v>0</v>
      </c>
      <c r="T55" s="63">
        <f>IF(Q55="PS",H55,0)</f>
        <v>0</v>
      </c>
      <c r="U55" s="63">
        <f>IF(Q55="PS",I55-P55,0)</f>
        <v>0</v>
      </c>
      <c r="V55" s="63">
        <f>IF(Q55="MP",H55,0)</f>
        <v>0</v>
      </c>
      <c r="W55" s="63">
        <f>IF(Q55="MP",I55-P55,0)</f>
        <v>0</v>
      </c>
      <c r="X55" s="63">
        <f>IF(Q55="OM",H55,0)</f>
        <v>0</v>
      </c>
      <c r="Y55" s="50"/>
      <c r="AI55" s="63">
        <f>SUM(Z56:Z56)</f>
        <v>0</v>
      </c>
      <c r="AJ55" s="63">
        <f>SUM(AA56:AA56)</f>
        <v>0</v>
      </c>
      <c r="AK55" s="63">
        <f>SUM(AB56:AB56)</f>
        <v>0</v>
      </c>
    </row>
    <row r="56" spans="1:32" ht="12.75">
      <c r="A56" s="10" t="s">
        <v>35</v>
      </c>
      <c r="B56" s="10"/>
      <c r="C56" s="10" t="s">
        <v>99</v>
      </c>
      <c r="D56" s="10" t="s">
        <v>172</v>
      </c>
      <c r="E56" s="10" t="s">
        <v>206</v>
      </c>
      <c r="F56" s="33">
        <v>6.64</v>
      </c>
      <c r="H56" s="33">
        <f>ROUND(F56*AE56,2)</f>
        <v>0</v>
      </c>
      <c r="I56" s="33">
        <f>J56-H56</f>
        <v>0</v>
      </c>
      <c r="J56" s="33">
        <f>ROUND(F56*G56,2)</f>
        <v>0</v>
      </c>
      <c r="K56" s="33">
        <v>0.00025</v>
      </c>
      <c r="L56" s="33">
        <f>F56*K56</f>
        <v>0.00166</v>
      </c>
      <c r="M56" s="56" t="s">
        <v>231</v>
      </c>
      <c r="N56" s="56" t="s">
        <v>7</v>
      </c>
      <c r="O56" s="33">
        <f>IF(N56="5",I56,0)</f>
        <v>0</v>
      </c>
      <c r="Z56" s="33">
        <f>IF(AD56=0,J56,0)</f>
        <v>0</v>
      </c>
      <c r="AA56" s="33">
        <f>IF(AD56=15,J56,0)</f>
        <v>0</v>
      </c>
      <c r="AB56" s="33">
        <f>IF(AD56=21,J56,0)</f>
        <v>0</v>
      </c>
      <c r="AD56" s="61">
        <v>15</v>
      </c>
      <c r="AE56" s="61">
        <f>G56*0.238753455642121</f>
        <v>0</v>
      </c>
      <c r="AF56" s="61">
        <f>G56*(1-0.238753455642121)</f>
        <v>0</v>
      </c>
    </row>
    <row r="57" spans="1:37" ht="12.75">
      <c r="A57" s="11"/>
      <c r="B57" s="24"/>
      <c r="C57" s="24" t="s">
        <v>100</v>
      </c>
      <c r="D57" s="24" t="s">
        <v>173</v>
      </c>
      <c r="E57" s="31"/>
      <c r="F57" s="31"/>
      <c r="G57" s="31"/>
      <c r="H57" s="63">
        <f>SUM(H58:H58)</f>
        <v>0</v>
      </c>
      <c r="I57" s="63">
        <f>SUM(I58:I58)</f>
        <v>0</v>
      </c>
      <c r="J57" s="63">
        <f>H57+I57</f>
        <v>0</v>
      </c>
      <c r="K57" s="50"/>
      <c r="L57" s="63">
        <f>SUM(L58:L58)</f>
        <v>6.0908001</v>
      </c>
      <c r="M57" s="50"/>
      <c r="P57" s="63">
        <f>IF(Q57="PR",J57,SUM(O58:O58))</f>
        <v>0</v>
      </c>
      <c r="Q57" s="50" t="s">
        <v>235</v>
      </c>
      <c r="R57" s="63">
        <f>IF(Q57="HS",H57,0)</f>
        <v>0</v>
      </c>
      <c r="S57" s="63">
        <f>IF(Q57="HS",I57-P57,0)</f>
        <v>0</v>
      </c>
      <c r="T57" s="63">
        <f>IF(Q57="PS",H57,0)</f>
        <v>0</v>
      </c>
      <c r="U57" s="63">
        <f>IF(Q57="PS",I57-P57,0)</f>
        <v>0</v>
      </c>
      <c r="V57" s="63">
        <f>IF(Q57="MP",H57,0)</f>
        <v>0</v>
      </c>
      <c r="W57" s="63">
        <f>IF(Q57="MP",I57-P57,0)</f>
        <v>0</v>
      </c>
      <c r="X57" s="63">
        <f>IF(Q57="OM",H57,0)</f>
        <v>0</v>
      </c>
      <c r="Y57" s="50"/>
      <c r="AI57" s="63">
        <f>SUM(Z58:Z58)</f>
        <v>0</v>
      </c>
      <c r="AJ57" s="63">
        <f>SUM(AA58:AA58)</f>
        <v>0</v>
      </c>
      <c r="AK57" s="63">
        <f>SUM(AB58:AB58)</f>
        <v>0</v>
      </c>
    </row>
    <row r="58" spans="1:32" ht="12.75">
      <c r="A58" s="10" t="s">
        <v>36</v>
      </c>
      <c r="B58" s="10"/>
      <c r="C58" s="10" t="s">
        <v>101</v>
      </c>
      <c r="D58" s="10" t="s">
        <v>174</v>
      </c>
      <c r="E58" s="10" t="s">
        <v>207</v>
      </c>
      <c r="F58" s="33">
        <v>64.31</v>
      </c>
      <c r="H58" s="33">
        <f>ROUND(F58*AE58,2)</f>
        <v>0</v>
      </c>
      <c r="I58" s="33">
        <f>J58-H58</f>
        <v>0</v>
      </c>
      <c r="J58" s="33">
        <f>ROUND(F58*G58,2)</f>
        <v>0</v>
      </c>
      <c r="K58" s="33">
        <v>0.09471</v>
      </c>
      <c r="L58" s="33">
        <f>F58*K58</f>
        <v>6.0908001</v>
      </c>
      <c r="M58" s="56" t="s">
        <v>231</v>
      </c>
      <c r="N58" s="56" t="s">
        <v>7</v>
      </c>
      <c r="O58" s="33">
        <f>IF(N58="5",I58,0)</f>
        <v>0</v>
      </c>
      <c r="Z58" s="33">
        <f>IF(AD58=0,J58,0)</f>
        <v>0</v>
      </c>
      <c r="AA58" s="33">
        <f>IF(AD58=15,J58,0)</f>
        <v>0</v>
      </c>
      <c r="AB58" s="33">
        <f>IF(AD58=21,J58,0)</f>
        <v>0</v>
      </c>
      <c r="AD58" s="61">
        <v>15</v>
      </c>
      <c r="AE58" s="61">
        <f>G58*0.707649769585253</f>
        <v>0</v>
      </c>
      <c r="AF58" s="61">
        <f>G58*(1-0.707649769585253)</f>
        <v>0</v>
      </c>
    </row>
    <row r="59" spans="1:37" ht="12.75">
      <c r="A59" s="11"/>
      <c r="B59" s="24"/>
      <c r="C59" s="24" t="s">
        <v>102</v>
      </c>
      <c r="D59" s="24" t="s">
        <v>175</v>
      </c>
      <c r="E59" s="31"/>
      <c r="F59" s="31"/>
      <c r="G59" s="31"/>
      <c r="H59" s="63">
        <f>SUM(H60:H65)</f>
        <v>0</v>
      </c>
      <c r="I59" s="63">
        <f>SUM(I60:I65)</f>
        <v>0</v>
      </c>
      <c r="J59" s="63">
        <f>H59+I59</f>
        <v>0</v>
      </c>
      <c r="K59" s="50"/>
      <c r="L59" s="63">
        <f>SUM(L60:L65)</f>
        <v>1.2837</v>
      </c>
      <c r="M59" s="50"/>
      <c r="P59" s="63">
        <f>IF(Q59="PR",J59,SUM(O60:O65))</f>
        <v>0</v>
      </c>
      <c r="Q59" s="50" t="s">
        <v>235</v>
      </c>
      <c r="R59" s="63">
        <f>IF(Q59="HS",H59,0)</f>
        <v>0</v>
      </c>
      <c r="S59" s="63">
        <f>IF(Q59="HS",I59-P59,0)</f>
        <v>0</v>
      </c>
      <c r="T59" s="63">
        <f>IF(Q59="PS",H59,0)</f>
        <v>0</v>
      </c>
      <c r="U59" s="63">
        <f>IF(Q59="PS",I59-P59,0)</f>
        <v>0</v>
      </c>
      <c r="V59" s="63">
        <f>IF(Q59="MP",H59,0)</f>
        <v>0</v>
      </c>
      <c r="W59" s="63">
        <f>IF(Q59="MP",I59-P59,0)</f>
        <v>0</v>
      </c>
      <c r="X59" s="63">
        <f>IF(Q59="OM",H59,0)</f>
        <v>0</v>
      </c>
      <c r="Y59" s="50"/>
      <c r="AI59" s="63">
        <f>SUM(Z60:Z65)</f>
        <v>0</v>
      </c>
      <c r="AJ59" s="63">
        <f>SUM(AA60:AA65)</f>
        <v>0</v>
      </c>
      <c r="AK59" s="63">
        <f>SUM(AB60:AB65)</f>
        <v>0</v>
      </c>
    </row>
    <row r="60" spans="1:32" ht="12.75">
      <c r="A60" s="10" t="s">
        <v>37</v>
      </c>
      <c r="B60" s="10"/>
      <c r="C60" s="10" t="s">
        <v>103</v>
      </c>
      <c r="D60" s="10" t="s">
        <v>176</v>
      </c>
      <c r="E60" s="10" t="s">
        <v>206</v>
      </c>
      <c r="F60" s="33">
        <v>23.85</v>
      </c>
      <c r="H60" s="33">
        <f>ROUND(F60*AE60,2)</f>
        <v>0</v>
      </c>
      <c r="I60" s="33">
        <f>J60-H60</f>
        <v>0</v>
      </c>
      <c r="J60" s="33">
        <f>ROUND(F60*G60,2)</f>
        <v>0</v>
      </c>
      <c r="K60" s="33">
        <v>0.034</v>
      </c>
      <c r="L60" s="33">
        <f>F60*K60</f>
        <v>0.8109000000000001</v>
      </c>
      <c r="M60" s="56" t="s">
        <v>231</v>
      </c>
      <c r="N60" s="56" t="s">
        <v>7</v>
      </c>
      <c r="O60" s="33">
        <f>IF(N60="5",I60,0)</f>
        <v>0</v>
      </c>
      <c r="Z60" s="33">
        <f>IF(AD60=0,J60,0)</f>
        <v>0</v>
      </c>
      <c r="AA60" s="33">
        <f>IF(AD60=15,J60,0)</f>
        <v>0</v>
      </c>
      <c r="AB60" s="33">
        <f>IF(AD60=21,J60,0)</f>
        <v>0</v>
      </c>
      <c r="AD60" s="61">
        <v>15</v>
      </c>
      <c r="AE60" s="61">
        <f>G60*0.175845043676415</f>
        <v>0</v>
      </c>
      <c r="AF60" s="61">
        <f>G60*(1-0.175845043676415)</f>
        <v>0</v>
      </c>
    </row>
    <row r="61" spans="1:32" ht="12.75">
      <c r="A61" s="10" t="s">
        <v>38</v>
      </c>
      <c r="B61" s="10"/>
      <c r="C61" s="10" t="s">
        <v>104</v>
      </c>
      <c r="D61" s="10" t="s">
        <v>177</v>
      </c>
      <c r="E61" s="10" t="s">
        <v>210</v>
      </c>
      <c r="F61" s="33">
        <v>4</v>
      </c>
      <c r="H61" s="33">
        <f>ROUND(F61*AE61,2)</f>
        <v>0</v>
      </c>
      <c r="I61" s="33">
        <f>J61-H61</f>
        <v>0</v>
      </c>
      <c r="J61" s="33">
        <f>ROUND(F61*G61,2)</f>
        <v>0</v>
      </c>
      <c r="K61" s="33">
        <v>0.005</v>
      </c>
      <c r="L61" s="33">
        <f>F61*K61</f>
        <v>0.02</v>
      </c>
      <c r="M61" s="56" t="s">
        <v>231</v>
      </c>
      <c r="N61" s="56" t="s">
        <v>7</v>
      </c>
      <c r="O61" s="33">
        <f>IF(N61="5",I61,0)</f>
        <v>0</v>
      </c>
      <c r="Z61" s="33">
        <f>IF(AD61=0,J61,0)</f>
        <v>0</v>
      </c>
      <c r="AA61" s="33">
        <f>IF(AD61=15,J61,0)</f>
        <v>0</v>
      </c>
      <c r="AB61" s="33">
        <f>IF(AD61=21,J61,0)</f>
        <v>0</v>
      </c>
      <c r="AD61" s="61">
        <v>15</v>
      </c>
      <c r="AE61" s="61">
        <f>G61*0</f>
        <v>0</v>
      </c>
      <c r="AF61" s="61">
        <f>G61*(1-0)</f>
        <v>0</v>
      </c>
    </row>
    <row r="62" spans="1:32" ht="12.75">
      <c r="A62" s="10" t="s">
        <v>39</v>
      </c>
      <c r="B62" s="10"/>
      <c r="C62" s="10" t="s">
        <v>105</v>
      </c>
      <c r="D62" s="10" t="s">
        <v>178</v>
      </c>
      <c r="E62" s="10" t="s">
        <v>206</v>
      </c>
      <c r="F62" s="33">
        <v>3.7</v>
      </c>
      <c r="H62" s="33">
        <f>ROUND(F62*AE62,2)</f>
        <v>0</v>
      </c>
      <c r="I62" s="33">
        <f>J62-H62</f>
        <v>0</v>
      </c>
      <c r="J62" s="33">
        <f>ROUND(F62*G62,2)</f>
        <v>0</v>
      </c>
      <c r="K62" s="33">
        <v>0.041</v>
      </c>
      <c r="L62" s="33">
        <f>F62*K62</f>
        <v>0.1517</v>
      </c>
      <c r="M62" s="56" t="s">
        <v>231</v>
      </c>
      <c r="N62" s="56" t="s">
        <v>7</v>
      </c>
      <c r="O62" s="33">
        <f>IF(N62="5",I62,0)</f>
        <v>0</v>
      </c>
      <c r="Z62" s="33">
        <f>IF(AD62=0,J62,0)</f>
        <v>0</v>
      </c>
      <c r="AA62" s="33">
        <f>IF(AD62=15,J62,0)</f>
        <v>0</v>
      </c>
      <c r="AB62" s="33">
        <f>IF(AD62=21,J62,0)</f>
        <v>0</v>
      </c>
      <c r="AD62" s="61">
        <v>15</v>
      </c>
      <c r="AE62" s="61">
        <f>G62*0.279678633631103</f>
        <v>0</v>
      </c>
      <c r="AF62" s="61">
        <f>G62*(1-0.279678633631103)</f>
        <v>0</v>
      </c>
    </row>
    <row r="63" spans="1:32" ht="12.75">
      <c r="A63" s="10" t="s">
        <v>40</v>
      </c>
      <c r="B63" s="10"/>
      <c r="C63" s="10" t="s">
        <v>106</v>
      </c>
      <c r="D63" s="10" t="s">
        <v>179</v>
      </c>
      <c r="E63" s="10" t="s">
        <v>210</v>
      </c>
      <c r="F63" s="33">
        <v>3</v>
      </c>
      <c r="H63" s="33">
        <f>ROUND(F63*AE63,2)</f>
        <v>0</v>
      </c>
      <c r="I63" s="33">
        <f>J63-H63</f>
        <v>0</v>
      </c>
      <c r="J63" s="33">
        <f>ROUND(F63*G63,2)</f>
        <v>0</v>
      </c>
      <c r="K63" s="33">
        <v>0.005</v>
      </c>
      <c r="L63" s="33">
        <f>F63*K63</f>
        <v>0.015</v>
      </c>
      <c r="M63" s="56" t="s">
        <v>231</v>
      </c>
      <c r="N63" s="56" t="s">
        <v>7</v>
      </c>
      <c r="O63" s="33">
        <f>IF(N63="5",I63,0)</f>
        <v>0</v>
      </c>
      <c r="Z63" s="33">
        <f>IF(AD63=0,J63,0)</f>
        <v>0</v>
      </c>
      <c r="AA63" s="33">
        <f>IF(AD63=15,J63,0)</f>
        <v>0</v>
      </c>
      <c r="AB63" s="33">
        <f>IF(AD63=21,J63,0)</f>
        <v>0</v>
      </c>
      <c r="AD63" s="61">
        <v>15</v>
      </c>
      <c r="AE63" s="61">
        <f>G63*0</f>
        <v>0</v>
      </c>
      <c r="AF63" s="61">
        <f>G63*(1-0)</f>
        <v>0</v>
      </c>
    </row>
    <row r="64" spans="1:32" ht="12.75">
      <c r="A64" s="10" t="s">
        <v>41</v>
      </c>
      <c r="B64" s="10"/>
      <c r="C64" s="10" t="s">
        <v>107</v>
      </c>
      <c r="D64" s="10" t="s">
        <v>180</v>
      </c>
      <c r="E64" s="10" t="s">
        <v>206</v>
      </c>
      <c r="F64" s="33">
        <v>4.5</v>
      </c>
      <c r="H64" s="33">
        <f>ROUND(F64*AE64,2)</f>
        <v>0</v>
      </c>
      <c r="I64" s="33">
        <f>J64-H64</f>
        <v>0</v>
      </c>
      <c r="J64" s="33">
        <f>ROUND(F64*G64,2)</f>
        <v>0</v>
      </c>
      <c r="K64" s="33">
        <v>0.063</v>
      </c>
      <c r="L64" s="33">
        <f>F64*K64</f>
        <v>0.2835</v>
      </c>
      <c r="M64" s="56" t="s">
        <v>231</v>
      </c>
      <c r="N64" s="56" t="s">
        <v>7</v>
      </c>
      <c r="O64" s="33">
        <f>IF(N64="5",I64,0)</f>
        <v>0</v>
      </c>
      <c r="Z64" s="33">
        <f>IF(AD64=0,J64,0)</f>
        <v>0</v>
      </c>
      <c r="AA64" s="33">
        <f>IF(AD64=15,J64,0)</f>
        <v>0</v>
      </c>
      <c r="AB64" s="33">
        <f>IF(AD64=21,J64,0)</f>
        <v>0</v>
      </c>
      <c r="AD64" s="61">
        <v>15</v>
      </c>
      <c r="AE64" s="61">
        <f>G64*0.117061855670103</f>
        <v>0</v>
      </c>
      <c r="AF64" s="61">
        <f>G64*(1-0.117061855670103)</f>
        <v>0</v>
      </c>
    </row>
    <row r="65" spans="1:32" ht="12.75">
      <c r="A65" s="10" t="s">
        <v>42</v>
      </c>
      <c r="B65" s="10"/>
      <c r="C65" s="10" t="s">
        <v>108</v>
      </c>
      <c r="D65" s="10" t="s">
        <v>181</v>
      </c>
      <c r="E65" s="10" t="s">
        <v>207</v>
      </c>
      <c r="F65" s="33">
        <v>5.2</v>
      </c>
      <c r="H65" s="33">
        <f>ROUND(F65*AE65,2)</f>
        <v>0</v>
      </c>
      <c r="I65" s="33">
        <f>J65-H65</f>
        <v>0</v>
      </c>
      <c r="J65" s="33">
        <f>ROUND(F65*G65,2)</f>
        <v>0</v>
      </c>
      <c r="K65" s="33">
        <v>0.0005</v>
      </c>
      <c r="L65" s="33">
        <f>F65*K65</f>
        <v>0.0026000000000000003</v>
      </c>
      <c r="M65" s="56" t="s">
        <v>231</v>
      </c>
      <c r="N65" s="56" t="s">
        <v>7</v>
      </c>
      <c r="O65" s="33">
        <f>IF(N65="5",I65,0)</f>
        <v>0</v>
      </c>
      <c r="Z65" s="33">
        <f>IF(AD65=0,J65,0)</f>
        <v>0</v>
      </c>
      <c r="AA65" s="33">
        <f>IF(AD65=15,J65,0)</f>
        <v>0</v>
      </c>
      <c r="AB65" s="33">
        <f>IF(AD65=21,J65,0)</f>
        <v>0</v>
      </c>
      <c r="AD65" s="61">
        <v>15</v>
      </c>
      <c r="AE65" s="61">
        <f>G65*0</f>
        <v>0</v>
      </c>
      <c r="AF65" s="61">
        <f>G65*(1-0)</f>
        <v>0</v>
      </c>
    </row>
    <row r="66" spans="1:37" ht="12.75">
      <c r="A66" s="11"/>
      <c r="B66" s="24"/>
      <c r="C66" s="24" t="s">
        <v>109</v>
      </c>
      <c r="D66" s="24" t="s">
        <v>182</v>
      </c>
      <c r="E66" s="31"/>
      <c r="F66" s="31"/>
      <c r="G66" s="31"/>
      <c r="H66" s="63">
        <f>SUM(H67:H67)</f>
        <v>0</v>
      </c>
      <c r="I66" s="63">
        <f>SUM(I67:I67)</f>
        <v>0</v>
      </c>
      <c r="J66" s="63">
        <f>H66+I66</f>
        <v>0</v>
      </c>
      <c r="K66" s="50"/>
      <c r="L66" s="63">
        <f>SUM(L67:L67)</f>
        <v>2.4375</v>
      </c>
      <c r="M66" s="50"/>
      <c r="P66" s="63">
        <f>IF(Q66="PR",J66,SUM(O67:O67))</f>
        <v>0</v>
      </c>
      <c r="Q66" s="50" t="s">
        <v>235</v>
      </c>
      <c r="R66" s="63">
        <f>IF(Q66="HS",H66,0)</f>
        <v>0</v>
      </c>
      <c r="S66" s="63">
        <f>IF(Q66="HS",I66-P66,0)</f>
        <v>0</v>
      </c>
      <c r="T66" s="63">
        <f>IF(Q66="PS",H66,0)</f>
        <v>0</v>
      </c>
      <c r="U66" s="63">
        <f>IF(Q66="PS",I66-P66,0)</f>
        <v>0</v>
      </c>
      <c r="V66" s="63">
        <f>IF(Q66="MP",H66,0)</f>
        <v>0</v>
      </c>
      <c r="W66" s="63">
        <f>IF(Q66="MP",I66-P66,0)</f>
        <v>0</v>
      </c>
      <c r="X66" s="63">
        <f>IF(Q66="OM",H66,0)</f>
        <v>0</v>
      </c>
      <c r="Y66" s="50"/>
      <c r="AI66" s="63">
        <f>SUM(Z67:Z67)</f>
        <v>0</v>
      </c>
      <c r="AJ66" s="63">
        <f>SUM(AA67:AA67)</f>
        <v>0</v>
      </c>
      <c r="AK66" s="63">
        <f>SUM(AB67:AB67)</f>
        <v>0</v>
      </c>
    </row>
    <row r="67" spans="1:32" ht="12.75">
      <c r="A67" s="10" t="s">
        <v>43</v>
      </c>
      <c r="B67" s="10"/>
      <c r="C67" s="10" t="s">
        <v>110</v>
      </c>
      <c r="D67" s="10" t="s">
        <v>183</v>
      </c>
      <c r="E67" s="10" t="s">
        <v>208</v>
      </c>
      <c r="F67" s="33">
        <v>1.25</v>
      </c>
      <c r="H67" s="33">
        <f>ROUND(F67*AE67,2)</f>
        <v>0</v>
      </c>
      <c r="I67" s="33">
        <f>J67-H67</f>
        <v>0</v>
      </c>
      <c r="J67" s="33">
        <f>ROUND(F67*G67,2)</f>
        <v>0</v>
      </c>
      <c r="K67" s="33">
        <v>1.95</v>
      </c>
      <c r="L67" s="33">
        <f>F67*K67</f>
        <v>2.4375</v>
      </c>
      <c r="M67" s="56" t="s">
        <v>231</v>
      </c>
      <c r="N67" s="56" t="s">
        <v>7</v>
      </c>
      <c r="O67" s="33">
        <f>IF(N67="5",I67,0)</f>
        <v>0</v>
      </c>
      <c r="Z67" s="33">
        <f>IF(AD67=0,J67,0)</f>
        <v>0</v>
      </c>
      <c r="AA67" s="33">
        <f>IF(AD67=15,J67,0)</f>
        <v>0</v>
      </c>
      <c r="AB67" s="33">
        <f>IF(AD67=21,J67,0)</f>
        <v>0</v>
      </c>
      <c r="AD67" s="61">
        <v>15</v>
      </c>
      <c r="AE67" s="61">
        <f>G67*0.0226065573770492</f>
        <v>0</v>
      </c>
      <c r="AF67" s="61">
        <f>G67*(1-0.0226065573770492)</f>
        <v>0</v>
      </c>
    </row>
    <row r="68" spans="1:37" ht="12.75">
      <c r="A68" s="11"/>
      <c r="B68" s="24"/>
      <c r="C68" s="24" t="s">
        <v>111</v>
      </c>
      <c r="D68" s="24" t="s">
        <v>184</v>
      </c>
      <c r="E68" s="31"/>
      <c r="F68" s="31"/>
      <c r="G68" s="31"/>
      <c r="H68" s="63">
        <f>SUM(H69:H72)</f>
        <v>0</v>
      </c>
      <c r="I68" s="63">
        <f>SUM(I69:I72)</f>
        <v>0</v>
      </c>
      <c r="J68" s="63">
        <f>H68+I68</f>
        <v>0</v>
      </c>
      <c r="K68" s="50"/>
      <c r="L68" s="63">
        <f>SUM(L69:L72)</f>
        <v>0</v>
      </c>
      <c r="M68" s="50"/>
      <c r="P68" s="63">
        <f>IF(Q68="PR",J68,SUM(O69:O72))</f>
        <v>0</v>
      </c>
      <c r="Q68" s="50" t="s">
        <v>237</v>
      </c>
      <c r="R68" s="63">
        <f>IF(Q68="HS",H68,0)</f>
        <v>0</v>
      </c>
      <c r="S68" s="63">
        <f>IF(Q68="HS",I68-P68,0)</f>
        <v>0</v>
      </c>
      <c r="T68" s="63">
        <f>IF(Q68="PS",H68,0)</f>
        <v>0</v>
      </c>
      <c r="U68" s="63">
        <f>IF(Q68="PS",I68-P68,0)</f>
        <v>0</v>
      </c>
      <c r="V68" s="63">
        <f>IF(Q68="MP",H68,0)</f>
        <v>0</v>
      </c>
      <c r="W68" s="63">
        <f>IF(Q68="MP",I68-P68,0)</f>
        <v>0</v>
      </c>
      <c r="X68" s="63">
        <f>IF(Q68="OM",H68,0)</f>
        <v>0</v>
      </c>
      <c r="Y68" s="50"/>
      <c r="AI68" s="63">
        <f>SUM(Z69:Z72)</f>
        <v>0</v>
      </c>
      <c r="AJ68" s="63">
        <f>SUM(AA69:AA72)</f>
        <v>0</v>
      </c>
      <c r="AK68" s="63">
        <f>SUM(AB69:AB72)</f>
        <v>0</v>
      </c>
    </row>
    <row r="69" spans="1:32" ht="12.75">
      <c r="A69" s="10" t="s">
        <v>44</v>
      </c>
      <c r="B69" s="10"/>
      <c r="C69" s="10" t="s">
        <v>112</v>
      </c>
      <c r="D69" s="10" t="s">
        <v>185</v>
      </c>
      <c r="E69" s="10" t="s">
        <v>212</v>
      </c>
      <c r="F69" s="33">
        <v>19.38</v>
      </c>
      <c r="H69" s="33">
        <f>ROUND(F69*AE69,2)</f>
        <v>0</v>
      </c>
      <c r="I69" s="33">
        <f>J69-H69</f>
        <v>0</v>
      </c>
      <c r="J69" s="33">
        <f>ROUND(F69*G69,2)</f>
        <v>0</v>
      </c>
      <c r="K69" s="33">
        <v>0</v>
      </c>
      <c r="L69" s="33">
        <f>F69*K69</f>
        <v>0</v>
      </c>
      <c r="M69" s="56" t="s">
        <v>231</v>
      </c>
      <c r="N69" s="56" t="s">
        <v>11</v>
      </c>
      <c r="O69" s="33">
        <f>IF(N69="5",I69,0)</f>
        <v>0</v>
      </c>
      <c r="Z69" s="33">
        <f>IF(AD69=0,J69,0)</f>
        <v>0</v>
      </c>
      <c r="AA69" s="33">
        <f>IF(AD69=15,J69,0)</f>
        <v>0</v>
      </c>
      <c r="AB69" s="33">
        <f>IF(AD69=21,J69,0)</f>
        <v>0</v>
      </c>
      <c r="AD69" s="61">
        <v>15</v>
      </c>
      <c r="AE69" s="61">
        <f>G69*0</f>
        <v>0</v>
      </c>
      <c r="AF69" s="61">
        <f>G69*(1-0)</f>
        <v>0</v>
      </c>
    </row>
    <row r="70" spans="1:32" ht="12.75">
      <c r="A70" s="10" t="s">
        <v>45</v>
      </c>
      <c r="B70" s="10"/>
      <c r="C70" s="10" t="s">
        <v>113</v>
      </c>
      <c r="D70" s="10" t="s">
        <v>186</v>
      </c>
      <c r="E70" s="10" t="s">
        <v>212</v>
      </c>
      <c r="F70" s="33">
        <v>19.38</v>
      </c>
      <c r="H70" s="33">
        <f>ROUND(F70*AE70,2)</f>
        <v>0</v>
      </c>
      <c r="I70" s="33">
        <f>J70-H70</f>
        <v>0</v>
      </c>
      <c r="J70" s="33">
        <f>ROUND(F70*G70,2)</f>
        <v>0</v>
      </c>
      <c r="K70" s="33">
        <v>0</v>
      </c>
      <c r="L70" s="33">
        <f>F70*K70</f>
        <v>0</v>
      </c>
      <c r="M70" s="56" t="s">
        <v>231</v>
      </c>
      <c r="N70" s="56" t="s">
        <v>11</v>
      </c>
      <c r="O70" s="33">
        <f>IF(N70="5",I70,0)</f>
        <v>0</v>
      </c>
      <c r="Z70" s="33">
        <f>IF(AD70=0,J70,0)</f>
        <v>0</v>
      </c>
      <c r="AA70" s="33">
        <f>IF(AD70=15,J70,0)</f>
        <v>0</v>
      </c>
      <c r="AB70" s="33">
        <f>IF(AD70=21,J70,0)</f>
        <v>0</v>
      </c>
      <c r="AD70" s="61">
        <v>15</v>
      </c>
      <c r="AE70" s="61">
        <f>G70*0</f>
        <v>0</v>
      </c>
      <c r="AF70" s="61">
        <f>G70*(1-0)</f>
        <v>0</v>
      </c>
    </row>
    <row r="71" spans="1:32" ht="12.75">
      <c r="A71" s="10" t="s">
        <v>46</v>
      </c>
      <c r="B71" s="10"/>
      <c r="C71" s="10" t="s">
        <v>114</v>
      </c>
      <c r="D71" s="10" t="s">
        <v>187</v>
      </c>
      <c r="E71" s="10" t="s">
        <v>212</v>
      </c>
      <c r="F71" s="33">
        <v>19.36</v>
      </c>
      <c r="H71" s="33">
        <f>ROUND(F71*AE71,2)</f>
        <v>0</v>
      </c>
      <c r="I71" s="33">
        <f>J71-H71</f>
        <v>0</v>
      </c>
      <c r="J71" s="33">
        <f>ROUND(F71*G71,2)</f>
        <v>0</v>
      </c>
      <c r="K71" s="33">
        <v>0</v>
      </c>
      <c r="L71" s="33">
        <f>F71*K71</f>
        <v>0</v>
      </c>
      <c r="M71" s="56" t="s">
        <v>231</v>
      </c>
      <c r="N71" s="56" t="s">
        <v>11</v>
      </c>
      <c r="O71" s="33">
        <f>IF(N71="5",I71,0)</f>
        <v>0</v>
      </c>
      <c r="Z71" s="33">
        <f>IF(AD71=0,J71,0)</f>
        <v>0</v>
      </c>
      <c r="AA71" s="33">
        <f>IF(AD71=15,J71,0)</f>
        <v>0</v>
      </c>
      <c r="AB71" s="33">
        <f>IF(AD71=21,J71,0)</f>
        <v>0</v>
      </c>
      <c r="AD71" s="61">
        <v>15</v>
      </c>
      <c r="AE71" s="61">
        <f>G71*0</f>
        <v>0</v>
      </c>
      <c r="AF71" s="61">
        <f>G71*(1-0)</f>
        <v>0</v>
      </c>
    </row>
    <row r="72" spans="1:32" ht="12.75">
      <c r="A72" s="10" t="s">
        <v>47</v>
      </c>
      <c r="B72" s="10"/>
      <c r="C72" s="10" t="s">
        <v>115</v>
      </c>
      <c r="D72" s="10" t="s">
        <v>188</v>
      </c>
      <c r="E72" s="10" t="s">
        <v>212</v>
      </c>
      <c r="F72" s="33">
        <v>19.38</v>
      </c>
      <c r="H72" s="33">
        <f>ROUND(F72*AE72,2)</f>
        <v>0</v>
      </c>
      <c r="I72" s="33">
        <f>J72-H72</f>
        <v>0</v>
      </c>
      <c r="J72" s="33">
        <f>ROUND(F72*G72,2)</f>
        <v>0</v>
      </c>
      <c r="K72" s="33">
        <v>0</v>
      </c>
      <c r="L72" s="33">
        <f>F72*K72</f>
        <v>0</v>
      </c>
      <c r="M72" s="56" t="s">
        <v>231</v>
      </c>
      <c r="N72" s="56" t="s">
        <v>11</v>
      </c>
      <c r="O72" s="33">
        <f>IF(N72="5",I72,0)</f>
        <v>0</v>
      </c>
      <c r="Z72" s="33">
        <f>IF(AD72=0,J72,0)</f>
        <v>0</v>
      </c>
      <c r="AA72" s="33">
        <f>IF(AD72=15,J72,0)</f>
        <v>0</v>
      </c>
      <c r="AB72" s="33">
        <f>IF(AD72=21,J72,0)</f>
        <v>0</v>
      </c>
      <c r="AD72" s="61">
        <v>15</v>
      </c>
      <c r="AE72" s="61">
        <f>G72*0</f>
        <v>0</v>
      </c>
      <c r="AF72" s="61">
        <f>G72*(1-0)</f>
        <v>0</v>
      </c>
    </row>
    <row r="73" spans="1:37" ht="12.75">
      <c r="A73" s="11"/>
      <c r="B73" s="24"/>
      <c r="C73" s="24"/>
      <c r="D73" s="24" t="s">
        <v>189</v>
      </c>
      <c r="E73" s="31"/>
      <c r="F73" s="31"/>
      <c r="G73" s="31"/>
      <c r="H73" s="63">
        <f>SUM(H74:H84)</f>
        <v>0</v>
      </c>
      <c r="I73" s="63">
        <f>SUM(I74:I84)</f>
        <v>0</v>
      </c>
      <c r="J73" s="63">
        <f>H73+I73</f>
        <v>0</v>
      </c>
      <c r="K73" s="50"/>
      <c r="L73" s="63">
        <f>SUM(L74:L84)</f>
        <v>8.266586</v>
      </c>
      <c r="M73" s="50"/>
      <c r="P73" s="63">
        <f>IF(Q73="PR",J73,SUM(O74:O84))</f>
        <v>0</v>
      </c>
      <c r="Q73" s="50" t="s">
        <v>238</v>
      </c>
      <c r="R73" s="63">
        <f>IF(Q73="HS",H73,0)</f>
        <v>0</v>
      </c>
      <c r="S73" s="63">
        <f>IF(Q73="HS",I73-P73,0)</f>
        <v>0</v>
      </c>
      <c r="T73" s="63">
        <f>IF(Q73="PS",H73,0)</f>
        <v>0</v>
      </c>
      <c r="U73" s="63">
        <f>IF(Q73="PS",I73-P73,0)</f>
        <v>0</v>
      </c>
      <c r="V73" s="63">
        <f>IF(Q73="MP",H73,0)</f>
        <v>0</v>
      </c>
      <c r="W73" s="63">
        <f>IF(Q73="MP",I73-P73,0)</f>
        <v>0</v>
      </c>
      <c r="X73" s="63">
        <f>IF(Q73="OM",H73,0)</f>
        <v>0</v>
      </c>
      <c r="Y73" s="50"/>
      <c r="AI73" s="63">
        <f>SUM(Z74:Z84)</f>
        <v>0</v>
      </c>
      <c r="AJ73" s="63">
        <f>SUM(AA74:AA84)</f>
        <v>0</v>
      </c>
      <c r="AK73" s="63">
        <f>SUM(AB74:AB84)</f>
        <v>0</v>
      </c>
    </row>
    <row r="74" spans="1:32" ht="12.75">
      <c r="A74" s="12" t="s">
        <v>48</v>
      </c>
      <c r="B74" s="12"/>
      <c r="C74" s="12" t="s">
        <v>116</v>
      </c>
      <c r="D74" s="12" t="s">
        <v>190</v>
      </c>
      <c r="E74" s="12" t="s">
        <v>210</v>
      </c>
      <c r="F74" s="34">
        <v>1</v>
      </c>
      <c r="H74" s="34">
        <f>ROUND(F74*AE74,2)</f>
        <v>0</v>
      </c>
      <c r="I74" s="34">
        <f>J74-H74</f>
        <v>0</v>
      </c>
      <c r="J74" s="34">
        <f>ROUND(F74*G74,2)</f>
        <v>0</v>
      </c>
      <c r="K74" s="34">
        <v>0.047</v>
      </c>
      <c r="L74" s="34">
        <f>F74*K74</f>
        <v>0.047</v>
      </c>
      <c r="M74" s="57"/>
      <c r="N74" s="57" t="s">
        <v>232</v>
      </c>
      <c r="O74" s="34">
        <f>IF(N74="5",I74,0)</f>
        <v>0</v>
      </c>
      <c r="Z74" s="34">
        <f>IF(AD74=0,J74,0)</f>
        <v>0</v>
      </c>
      <c r="AA74" s="34">
        <f>IF(AD74=15,J74,0)</f>
        <v>0</v>
      </c>
      <c r="AB74" s="34">
        <f>IF(AD74=21,J74,0)</f>
        <v>0</v>
      </c>
      <c r="AD74" s="61">
        <v>15</v>
      </c>
      <c r="AE74" s="61">
        <f>G74*1</f>
        <v>0</v>
      </c>
      <c r="AF74" s="61">
        <f>G74*(1-1)</f>
        <v>0</v>
      </c>
    </row>
    <row r="75" spans="1:32" ht="12.75">
      <c r="A75" s="12" t="s">
        <v>49</v>
      </c>
      <c r="B75" s="12"/>
      <c r="C75" s="12" t="s">
        <v>116</v>
      </c>
      <c r="D75" s="12" t="s">
        <v>191</v>
      </c>
      <c r="E75" s="12" t="s">
        <v>210</v>
      </c>
      <c r="F75" s="34">
        <v>1</v>
      </c>
      <c r="H75" s="34">
        <f>ROUND(F75*AE75,2)</f>
        <v>0</v>
      </c>
      <c r="I75" s="34">
        <f>J75-H75</f>
        <v>0</v>
      </c>
      <c r="J75" s="34">
        <f>ROUND(F75*G75,2)</f>
        <v>0</v>
      </c>
      <c r="K75" s="34">
        <v>0.047</v>
      </c>
      <c r="L75" s="34">
        <f>F75*K75</f>
        <v>0.047</v>
      </c>
      <c r="M75" s="57"/>
      <c r="N75" s="57" t="s">
        <v>232</v>
      </c>
      <c r="O75" s="34">
        <f>IF(N75="5",I75,0)</f>
        <v>0</v>
      </c>
      <c r="Z75" s="34">
        <f>IF(AD75=0,J75,0)</f>
        <v>0</v>
      </c>
      <c r="AA75" s="34">
        <f>IF(AD75=15,J75,0)</f>
        <v>0</v>
      </c>
      <c r="AB75" s="34">
        <f>IF(AD75=21,J75,0)</f>
        <v>0</v>
      </c>
      <c r="AD75" s="61">
        <v>15</v>
      </c>
      <c r="AE75" s="61">
        <f>G75*1</f>
        <v>0</v>
      </c>
      <c r="AF75" s="61">
        <f>G75*(1-1)</f>
        <v>0</v>
      </c>
    </row>
    <row r="76" spans="1:32" ht="12.75">
      <c r="A76" s="12" t="s">
        <v>50</v>
      </c>
      <c r="B76" s="12"/>
      <c r="C76" s="12" t="s">
        <v>116</v>
      </c>
      <c r="D76" s="12" t="s">
        <v>192</v>
      </c>
      <c r="E76" s="12" t="s">
        <v>210</v>
      </c>
      <c r="F76" s="34">
        <v>1</v>
      </c>
      <c r="H76" s="34">
        <f>ROUND(F76*AE76,2)</f>
        <v>0</v>
      </c>
      <c r="I76" s="34">
        <f>J76-H76</f>
        <v>0</v>
      </c>
      <c r="J76" s="34">
        <f>ROUND(F76*G76,2)</f>
        <v>0</v>
      </c>
      <c r="K76" s="34">
        <v>0.047</v>
      </c>
      <c r="L76" s="34">
        <f>F76*K76</f>
        <v>0.047</v>
      </c>
      <c r="M76" s="57"/>
      <c r="N76" s="57" t="s">
        <v>232</v>
      </c>
      <c r="O76" s="34">
        <f>IF(N76="5",I76,0)</f>
        <v>0</v>
      </c>
      <c r="Z76" s="34">
        <f>IF(AD76=0,J76,0)</f>
        <v>0</v>
      </c>
      <c r="AA76" s="34">
        <f>IF(AD76=15,J76,0)</f>
        <v>0</v>
      </c>
      <c r="AB76" s="34">
        <f>IF(AD76=21,J76,0)</f>
        <v>0</v>
      </c>
      <c r="AD76" s="61">
        <v>15</v>
      </c>
      <c r="AE76" s="61">
        <f>G76*1</f>
        <v>0</v>
      </c>
      <c r="AF76" s="61">
        <f>G76*(1-1)</f>
        <v>0</v>
      </c>
    </row>
    <row r="77" spans="1:32" ht="12.75">
      <c r="A77" s="12" t="s">
        <v>51</v>
      </c>
      <c r="B77" s="12"/>
      <c r="C77" s="12" t="s">
        <v>116</v>
      </c>
      <c r="D77" s="12" t="s">
        <v>193</v>
      </c>
      <c r="E77" s="12" t="s">
        <v>210</v>
      </c>
      <c r="F77" s="34">
        <v>1</v>
      </c>
      <c r="H77" s="34">
        <f>ROUND(F77*AE77,2)</f>
        <v>0</v>
      </c>
      <c r="I77" s="34">
        <f>J77-H77</f>
        <v>0</v>
      </c>
      <c r="J77" s="34">
        <f>ROUND(F77*G77,2)</f>
        <v>0</v>
      </c>
      <c r="K77" s="34">
        <v>0.047</v>
      </c>
      <c r="L77" s="34">
        <f>F77*K77</f>
        <v>0.047</v>
      </c>
      <c r="M77" s="57"/>
      <c r="N77" s="57" t="s">
        <v>232</v>
      </c>
      <c r="O77" s="34">
        <f>IF(N77="5",I77,0)</f>
        <v>0</v>
      </c>
      <c r="Z77" s="34">
        <f>IF(AD77=0,J77,0)</f>
        <v>0</v>
      </c>
      <c r="AA77" s="34">
        <f>IF(AD77=15,J77,0)</f>
        <v>0</v>
      </c>
      <c r="AB77" s="34">
        <f>IF(AD77=21,J77,0)</f>
        <v>0</v>
      </c>
      <c r="AD77" s="61">
        <v>15</v>
      </c>
      <c r="AE77" s="61">
        <f>G77*1</f>
        <v>0</v>
      </c>
      <c r="AF77" s="61">
        <f>G77*(1-1)</f>
        <v>0</v>
      </c>
    </row>
    <row r="78" spans="1:32" ht="12.75">
      <c r="A78" s="12" t="s">
        <v>52</v>
      </c>
      <c r="B78" s="12"/>
      <c r="C78" s="12" t="s">
        <v>117</v>
      </c>
      <c r="D78" s="12" t="s">
        <v>194</v>
      </c>
      <c r="E78" s="12" t="s">
        <v>210</v>
      </c>
      <c r="F78" s="34">
        <v>2</v>
      </c>
      <c r="H78" s="34">
        <f>ROUND(F78*AE78,2)</f>
        <v>0</v>
      </c>
      <c r="I78" s="34">
        <f>J78-H78</f>
        <v>0</v>
      </c>
      <c r="J78" s="34">
        <f>ROUND(F78*G78,2)</f>
        <v>0</v>
      </c>
      <c r="K78" s="34">
        <v>0.035</v>
      </c>
      <c r="L78" s="34">
        <f>F78*K78</f>
        <v>0.07</v>
      </c>
      <c r="M78" s="57"/>
      <c r="N78" s="57" t="s">
        <v>232</v>
      </c>
      <c r="O78" s="34">
        <f>IF(N78="5",I78,0)</f>
        <v>0</v>
      </c>
      <c r="Z78" s="34">
        <f>IF(AD78=0,J78,0)</f>
        <v>0</v>
      </c>
      <c r="AA78" s="34">
        <f>IF(AD78=15,J78,0)</f>
        <v>0</v>
      </c>
      <c r="AB78" s="34">
        <f>IF(AD78=21,J78,0)</f>
        <v>0</v>
      </c>
      <c r="AD78" s="61">
        <v>15</v>
      </c>
      <c r="AE78" s="61">
        <f>G78*1</f>
        <v>0</v>
      </c>
      <c r="AF78" s="61">
        <f>G78*(1-1)</f>
        <v>0</v>
      </c>
    </row>
    <row r="79" spans="1:32" ht="12.75">
      <c r="A79" s="12" t="s">
        <v>53</v>
      </c>
      <c r="B79" s="12"/>
      <c r="C79" s="12" t="s">
        <v>118</v>
      </c>
      <c r="D79" s="12" t="s">
        <v>195</v>
      </c>
      <c r="E79" s="12" t="s">
        <v>210</v>
      </c>
      <c r="F79" s="34">
        <v>2</v>
      </c>
      <c r="H79" s="34">
        <f>ROUND(F79*AE79,2)</f>
        <v>0</v>
      </c>
      <c r="I79" s="34">
        <f>J79-H79</f>
        <v>0</v>
      </c>
      <c r="J79" s="34">
        <f>ROUND(F79*G79,2)</f>
        <v>0</v>
      </c>
      <c r="K79" s="34">
        <v>0.066</v>
      </c>
      <c r="L79" s="34">
        <f>F79*K79</f>
        <v>0.132</v>
      </c>
      <c r="M79" s="57" t="s">
        <v>231</v>
      </c>
      <c r="N79" s="57" t="s">
        <v>232</v>
      </c>
      <c r="O79" s="34">
        <f>IF(N79="5",I79,0)</f>
        <v>0</v>
      </c>
      <c r="Z79" s="34">
        <f>IF(AD79=0,J79,0)</f>
        <v>0</v>
      </c>
      <c r="AA79" s="34">
        <f>IF(AD79=15,J79,0)</f>
        <v>0</v>
      </c>
      <c r="AB79" s="34">
        <f>IF(AD79=21,J79,0)</f>
        <v>0</v>
      </c>
      <c r="AD79" s="61">
        <v>15</v>
      </c>
      <c r="AE79" s="61">
        <f>G79*1</f>
        <v>0</v>
      </c>
      <c r="AF79" s="61">
        <f>G79*(1-1)</f>
        <v>0</v>
      </c>
    </row>
    <row r="80" spans="1:32" ht="12.75">
      <c r="A80" s="12" t="s">
        <v>54</v>
      </c>
      <c r="B80" s="12"/>
      <c r="C80" s="12" t="s">
        <v>119</v>
      </c>
      <c r="D80" s="12" t="s">
        <v>196</v>
      </c>
      <c r="E80" s="12" t="s">
        <v>210</v>
      </c>
      <c r="F80" s="34">
        <v>1</v>
      </c>
      <c r="H80" s="34">
        <f>ROUND(F80*AE80,2)</f>
        <v>0</v>
      </c>
      <c r="I80" s="34">
        <f>J80-H80</f>
        <v>0</v>
      </c>
      <c r="J80" s="34">
        <f>ROUND(F80*G80,2)</f>
        <v>0</v>
      </c>
      <c r="K80" s="34">
        <v>0.04</v>
      </c>
      <c r="L80" s="34">
        <f>F80*K80</f>
        <v>0.04</v>
      </c>
      <c r="M80" s="57" t="s">
        <v>231</v>
      </c>
      <c r="N80" s="57" t="s">
        <v>232</v>
      </c>
      <c r="O80" s="34">
        <f>IF(N80="5",I80,0)</f>
        <v>0</v>
      </c>
      <c r="Z80" s="34">
        <f>IF(AD80=0,J80,0)</f>
        <v>0</v>
      </c>
      <c r="AA80" s="34">
        <f>IF(AD80=15,J80,0)</f>
        <v>0</v>
      </c>
      <c r="AB80" s="34">
        <f>IF(AD80=21,J80,0)</f>
        <v>0</v>
      </c>
      <c r="AD80" s="61">
        <v>15</v>
      </c>
      <c r="AE80" s="61">
        <f>G80*1</f>
        <v>0</v>
      </c>
      <c r="AF80" s="61">
        <f>G80*(1-1)</f>
        <v>0</v>
      </c>
    </row>
    <row r="81" spans="1:32" ht="12.75">
      <c r="A81" s="12" t="s">
        <v>55</v>
      </c>
      <c r="B81" s="12"/>
      <c r="C81" s="12" t="s">
        <v>120</v>
      </c>
      <c r="D81" s="12" t="s">
        <v>197</v>
      </c>
      <c r="E81" s="12" t="s">
        <v>207</v>
      </c>
      <c r="F81" s="34">
        <v>113.48</v>
      </c>
      <c r="H81" s="34">
        <f>ROUND(F81*AE81,2)</f>
        <v>0</v>
      </c>
      <c r="I81" s="34">
        <f>J81-H81</f>
        <v>0</v>
      </c>
      <c r="J81" s="34">
        <f>ROUND(F81*G81,2)</f>
        <v>0</v>
      </c>
      <c r="K81" s="34">
        <v>0</v>
      </c>
      <c r="L81" s="34">
        <f>F81*K81</f>
        <v>0</v>
      </c>
      <c r="M81" s="57" t="s">
        <v>231</v>
      </c>
      <c r="N81" s="57" t="s">
        <v>232</v>
      </c>
      <c r="O81" s="34">
        <f>IF(N81="5",I81,0)</f>
        <v>0</v>
      </c>
      <c r="Z81" s="34">
        <f>IF(AD81=0,J81,0)</f>
        <v>0</v>
      </c>
      <c r="AA81" s="34">
        <f>IF(AD81=15,J81,0)</f>
        <v>0</v>
      </c>
      <c r="AB81" s="34">
        <f>IF(AD81=21,J81,0)</f>
        <v>0</v>
      </c>
      <c r="AD81" s="61">
        <v>15</v>
      </c>
      <c r="AE81" s="61">
        <f>G81*1</f>
        <v>0</v>
      </c>
      <c r="AF81" s="61">
        <f>G81*(1-1)</f>
        <v>0</v>
      </c>
    </row>
    <row r="82" spans="1:32" ht="12.75">
      <c r="A82" s="12" t="s">
        <v>56</v>
      </c>
      <c r="B82" s="12"/>
      <c r="C82" s="12" t="s">
        <v>121</v>
      </c>
      <c r="D82" s="12" t="s">
        <v>198</v>
      </c>
      <c r="E82" s="12" t="s">
        <v>210</v>
      </c>
      <c r="F82" s="34">
        <v>64.31</v>
      </c>
      <c r="H82" s="34">
        <f>ROUND(F82*AE82,2)</f>
        <v>0</v>
      </c>
      <c r="I82" s="34">
        <f>J82-H82</f>
        <v>0</v>
      </c>
      <c r="J82" s="34">
        <f>ROUND(F82*G82,2)</f>
        <v>0</v>
      </c>
      <c r="K82" s="34">
        <v>0.086</v>
      </c>
      <c r="L82" s="34">
        <f>F82*K82</f>
        <v>5.53066</v>
      </c>
      <c r="M82" s="57" t="s">
        <v>231</v>
      </c>
      <c r="N82" s="57" t="s">
        <v>232</v>
      </c>
      <c r="O82" s="34">
        <f>IF(N82="5",I82,0)</f>
        <v>0</v>
      </c>
      <c r="Z82" s="34">
        <f>IF(AD82=0,J82,0)</f>
        <v>0</v>
      </c>
      <c r="AA82" s="34">
        <f>IF(AD82=15,J82,0)</f>
        <v>0</v>
      </c>
      <c r="AB82" s="34">
        <f>IF(AD82=21,J82,0)</f>
        <v>0</v>
      </c>
      <c r="AD82" s="61">
        <v>15</v>
      </c>
      <c r="AE82" s="61">
        <f>G82*1</f>
        <v>0</v>
      </c>
      <c r="AF82" s="61">
        <f>G82*(1-1)</f>
        <v>0</v>
      </c>
    </row>
    <row r="83" spans="1:32" ht="12.75">
      <c r="A83" s="12" t="s">
        <v>57</v>
      </c>
      <c r="B83" s="12"/>
      <c r="C83" s="12" t="s">
        <v>122</v>
      </c>
      <c r="D83" s="12" t="s">
        <v>199</v>
      </c>
      <c r="E83" s="12" t="s">
        <v>206</v>
      </c>
      <c r="F83" s="34">
        <v>9.63</v>
      </c>
      <c r="H83" s="34">
        <f>ROUND(F83*AE83,2)</f>
        <v>0</v>
      </c>
      <c r="I83" s="34">
        <f>J83-H83</f>
        <v>0</v>
      </c>
      <c r="J83" s="34">
        <f>ROUND(F83*G83,2)</f>
        <v>0</v>
      </c>
      <c r="K83" s="34">
        <v>0.0002</v>
      </c>
      <c r="L83" s="34">
        <f>F83*K83</f>
        <v>0.0019260000000000002</v>
      </c>
      <c r="M83" s="57" t="s">
        <v>231</v>
      </c>
      <c r="N83" s="57" t="s">
        <v>232</v>
      </c>
      <c r="O83" s="34">
        <f>IF(N83="5",I83,0)</f>
        <v>0</v>
      </c>
      <c r="Z83" s="34">
        <f>IF(AD83=0,J83,0)</f>
        <v>0</v>
      </c>
      <c r="AA83" s="34">
        <f>IF(AD83=15,J83,0)</f>
        <v>0</v>
      </c>
      <c r="AB83" s="34">
        <f>IF(AD83=21,J83,0)</f>
        <v>0</v>
      </c>
      <c r="AD83" s="61">
        <v>15</v>
      </c>
      <c r="AE83" s="61">
        <f>G83*1</f>
        <v>0</v>
      </c>
      <c r="AF83" s="61">
        <f>G83*(1-1)</f>
        <v>0</v>
      </c>
    </row>
    <row r="84" spans="1:32" ht="12.75">
      <c r="A84" s="13" t="s">
        <v>58</v>
      </c>
      <c r="B84" s="13"/>
      <c r="C84" s="13" t="s">
        <v>123</v>
      </c>
      <c r="D84" s="13" t="s">
        <v>200</v>
      </c>
      <c r="E84" s="13" t="s">
        <v>208</v>
      </c>
      <c r="F84" s="35">
        <v>1.44</v>
      </c>
      <c r="G84" s="39"/>
      <c r="H84" s="35">
        <f>ROUND(F84*AE84,2)</f>
        <v>0</v>
      </c>
      <c r="I84" s="35">
        <f>J84-H84</f>
        <v>0</v>
      </c>
      <c r="J84" s="35">
        <f>ROUND(F84*G84,2)</f>
        <v>0</v>
      </c>
      <c r="K84" s="35">
        <v>1.6</v>
      </c>
      <c r="L84" s="35">
        <f>F84*K84</f>
        <v>2.304</v>
      </c>
      <c r="M84" s="58" t="s">
        <v>231</v>
      </c>
      <c r="N84" s="57" t="s">
        <v>232</v>
      </c>
      <c r="O84" s="34">
        <f>IF(N84="5",I84,0)</f>
        <v>0</v>
      </c>
      <c r="Z84" s="34">
        <f>IF(AD84=0,J84,0)</f>
        <v>0</v>
      </c>
      <c r="AA84" s="34">
        <f>IF(AD84=15,J84,0)</f>
        <v>0</v>
      </c>
      <c r="AB84" s="34">
        <f>IF(AD84=21,J84,0)</f>
        <v>0</v>
      </c>
      <c r="AD84" s="61">
        <v>15</v>
      </c>
      <c r="AE84" s="61">
        <f>G84*1</f>
        <v>0</v>
      </c>
      <c r="AF84" s="61">
        <f>G84*(1-1)</f>
        <v>0</v>
      </c>
    </row>
    <row r="85" spans="1:28" ht="12.75">
      <c r="A85" s="14"/>
      <c r="B85" s="14"/>
      <c r="C85" s="14"/>
      <c r="D85" s="14"/>
      <c r="E85" s="14"/>
      <c r="F85" s="14"/>
      <c r="G85" s="14"/>
      <c r="H85" s="42" t="s">
        <v>218</v>
      </c>
      <c r="I85" s="46"/>
      <c r="J85" s="64">
        <f>J12+J16+J19+J21+J23+J28+J30+J32+J34+J37+J39+J43+J48+J52+J55+J57+J59+J66+J68+J73</f>
        <v>0</v>
      </c>
      <c r="K85" s="14"/>
      <c r="L85" s="14"/>
      <c r="M85" s="14"/>
      <c r="Z85" s="65">
        <f>SUM(Z13:Z84)</f>
        <v>0</v>
      </c>
      <c r="AA85" s="65">
        <f>SUM(AA13:AA84)</f>
        <v>0</v>
      </c>
      <c r="AB85" s="65">
        <f>SUM(AB13:AB84)</f>
        <v>0</v>
      </c>
    </row>
    <row r="86" ht="11.25" customHeight="1">
      <c r="A86" s="15" t="s">
        <v>59</v>
      </c>
    </row>
    <row r="87" spans="1:13" ht="0" customHeight="1" hidden="1">
      <c r="A87" s="16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</sheetData>
  <mergeCells count="49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D12:G12"/>
    <mergeCell ref="D16:G16"/>
    <mergeCell ref="D19:G19"/>
    <mergeCell ref="D21:G21"/>
    <mergeCell ref="D23:G23"/>
    <mergeCell ref="D28:G28"/>
    <mergeCell ref="D30:G30"/>
    <mergeCell ref="D32:G32"/>
    <mergeCell ref="D34:G34"/>
    <mergeCell ref="D37:G37"/>
    <mergeCell ref="D39:G39"/>
    <mergeCell ref="D43:G43"/>
    <mergeCell ref="D48:G48"/>
    <mergeCell ref="D52:G52"/>
    <mergeCell ref="D55:G55"/>
    <mergeCell ref="D57:G57"/>
    <mergeCell ref="D59:G59"/>
    <mergeCell ref="D66:G66"/>
    <mergeCell ref="D68:G68"/>
    <mergeCell ref="D73:G73"/>
    <mergeCell ref="H85:I85"/>
    <mergeCell ref="A87:M87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7"/>
  <sheetViews>
    <sheetView workbookViewId="0" topLeftCell="A1">
      <selection activeCell="A1" sqref="A1"/>
    </sheetView>
  </sheetViews>
  <sheetFormatPr defaultColWidth="11.57421875" defaultRowHeight="12.75"/>
  <cols>
    <col min="1" max="1" width="3.7109375" customWidth="1"/>
    <col min="2" max="2" width="6.8515625" customWidth="1"/>
    <col min="3" max="3" width="13.28125" customWidth="1"/>
    <col min="4" max="4" width="133.8515625" customWidth="1"/>
    <col min="5" max="5" width="4.28125" customWidth="1"/>
    <col min="6" max="6" width="10.8515625" customWidth="1"/>
    <col min="7" max="7" width="12.00390625" customWidth="1"/>
    <col min="8" max="10" width="14.28125" customWidth="1"/>
    <col min="11" max="13" width="11.7109375" customWidth="1"/>
    <col min="14" max="37" width="12.140625" hidden="1" customWidth="1"/>
  </cols>
  <sheetData>
    <row r="1" spans="1:13" ht="21.75" customHeight="1">
      <c r="A1" s="2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ht="12.75">
      <c r="A2" s="3" t="s">
        <v>1</v>
      </c>
      <c r="B2" s="18"/>
      <c r="C2" s="18"/>
      <c r="D2" s="25" t="s">
        <v>124</v>
      </c>
      <c r="E2" s="28" t="s">
        <v>201</v>
      </c>
      <c r="F2" s="18"/>
      <c r="G2" s="28"/>
      <c r="H2" s="18"/>
      <c r="I2" s="43" t="s">
        <v>219</v>
      </c>
      <c r="J2" s="43" t="s">
        <v>224</v>
      </c>
      <c r="K2" s="18"/>
      <c r="L2" s="18"/>
      <c r="M2" s="51"/>
      <c r="N2" s="59"/>
    </row>
    <row r="3" spans="1:14" ht="12.75">
      <c r="A3" s="4"/>
      <c r="B3" s="19"/>
      <c r="C3" s="19"/>
      <c r="D3" s="26"/>
      <c r="E3" s="19"/>
      <c r="F3" s="19"/>
      <c r="G3" s="19"/>
      <c r="H3" s="19"/>
      <c r="I3" s="19"/>
      <c r="J3" s="19"/>
      <c r="K3" s="19"/>
      <c r="L3" s="19"/>
      <c r="M3" s="52"/>
      <c r="N3" s="59"/>
    </row>
    <row r="4" spans="1:14" ht="12.75">
      <c r="A4" s="5" t="s">
        <v>2</v>
      </c>
      <c r="B4" s="19"/>
      <c r="C4" s="19"/>
      <c r="D4" s="16"/>
      <c r="E4" s="29" t="s">
        <v>202</v>
      </c>
      <c r="F4" s="19"/>
      <c r="G4" s="36">
        <v>42339</v>
      </c>
      <c r="H4" s="19"/>
      <c r="I4" s="16" t="s">
        <v>220</v>
      </c>
      <c r="J4" s="16" t="s">
        <v>225</v>
      </c>
      <c r="K4" s="19"/>
      <c r="L4" s="19"/>
      <c r="M4" s="52"/>
      <c r="N4" s="59"/>
    </row>
    <row r="5" spans="1:14" ht="12.75">
      <c r="A5" s="4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52"/>
      <c r="N5" s="59"/>
    </row>
    <row r="6" spans="1:14" ht="12.75">
      <c r="A6" s="5" t="s">
        <v>3</v>
      </c>
      <c r="B6" s="19"/>
      <c r="C6" s="19"/>
      <c r="D6" s="16" t="s">
        <v>125</v>
      </c>
      <c r="E6" s="29" t="s">
        <v>203</v>
      </c>
      <c r="F6" s="19"/>
      <c r="G6" s="19"/>
      <c r="H6" s="19"/>
      <c r="I6" s="16" t="s">
        <v>221</v>
      </c>
      <c r="J6" s="16"/>
      <c r="K6" s="19"/>
      <c r="L6" s="19"/>
      <c r="M6" s="52"/>
      <c r="N6" s="59"/>
    </row>
    <row r="7" spans="1:14" ht="12.75">
      <c r="A7" s="4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52"/>
      <c r="N7" s="59"/>
    </row>
    <row r="8" spans="1:14" ht="12.75">
      <c r="A8" s="5" t="s">
        <v>4</v>
      </c>
      <c r="B8" s="19"/>
      <c r="C8" s="19"/>
      <c r="D8" s="16">
        <v>801</v>
      </c>
      <c r="E8" s="29" t="s">
        <v>204</v>
      </c>
      <c r="F8" s="19"/>
      <c r="G8" s="36">
        <v>42150</v>
      </c>
      <c r="H8" s="19"/>
      <c r="I8" s="16" t="s">
        <v>222</v>
      </c>
      <c r="J8" s="16" t="s">
        <v>226</v>
      </c>
      <c r="K8" s="19"/>
      <c r="L8" s="19"/>
      <c r="M8" s="52"/>
      <c r="N8" s="59"/>
    </row>
    <row r="9" spans="1:14" ht="12.75">
      <c r="A9" s="6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53"/>
      <c r="N9" s="59"/>
    </row>
    <row r="10" spans="1:14" ht="12.75">
      <c r="A10" s="7" t="s">
        <v>5</v>
      </c>
      <c r="B10" s="21" t="s">
        <v>60</v>
      </c>
      <c r="C10" s="21" t="s">
        <v>61</v>
      </c>
      <c r="D10" s="21" t="s">
        <v>126</v>
      </c>
      <c r="E10" s="21" t="s">
        <v>205</v>
      </c>
      <c r="F10" s="32" t="s">
        <v>213</v>
      </c>
      <c r="G10" s="37" t="s">
        <v>214</v>
      </c>
      <c r="H10" s="40" t="s">
        <v>216</v>
      </c>
      <c r="I10" s="44"/>
      <c r="J10" s="47"/>
      <c r="K10" s="40" t="s">
        <v>228</v>
      </c>
      <c r="L10" s="47"/>
      <c r="M10" s="54" t="s">
        <v>229</v>
      </c>
      <c r="N10" s="60"/>
    </row>
    <row r="11" spans="1:24" ht="12.75">
      <c r="A11" s="8" t="s">
        <v>6</v>
      </c>
      <c r="B11" s="22" t="s">
        <v>6</v>
      </c>
      <c r="C11" s="22" t="s">
        <v>6</v>
      </c>
      <c r="D11" s="27" t="s">
        <v>127</v>
      </c>
      <c r="E11" s="22" t="s">
        <v>6</v>
      </c>
      <c r="F11" s="22" t="s">
        <v>6</v>
      </c>
      <c r="G11" s="38" t="s">
        <v>215</v>
      </c>
      <c r="H11" s="41" t="s">
        <v>217</v>
      </c>
      <c r="I11" s="45" t="s">
        <v>223</v>
      </c>
      <c r="J11" s="48" t="s">
        <v>227</v>
      </c>
      <c r="K11" s="41" t="s">
        <v>214</v>
      </c>
      <c r="L11" s="48" t="s">
        <v>227</v>
      </c>
      <c r="M11" s="55" t="s">
        <v>230</v>
      </c>
      <c r="N11" s="60"/>
      <c r="P11" s="50" t="s">
        <v>233</v>
      </c>
      <c r="Q11" s="50" t="s">
        <v>234</v>
      </c>
      <c r="R11" s="50" t="s">
        <v>239</v>
      </c>
      <c r="S11" s="50" t="s">
        <v>240</v>
      </c>
      <c r="T11" s="50" t="s">
        <v>241</v>
      </c>
      <c r="U11" s="50" t="s">
        <v>242</v>
      </c>
      <c r="V11" s="50" t="s">
        <v>243</v>
      </c>
      <c r="W11" s="50" t="s">
        <v>244</v>
      </c>
      <c r="X11" s="50" t="s">
        <v>245</v>
      </c>
    </row>
    <row r="12" spans="1:37" ht="12.75">
      <c r="A12" s="9"/>
      <c r="B12" s="23"/>
      <c r="C12" s="23" t="s">
        <v>7</v>
      </c>
      <c r="D12" s="23" t="s">
        <v>249</v>
      </c>
      <c r="E12" s="30"/>
      <c r="F12" s="30"/>
      <c r="G12" s="30"/>
      <c r="H12" s="62">
        <f>SUM(H13:H17)</f>
        <v>0</v>
      </c>
      <c r="I12" s="62">
        <f>SUM(I13:I17)</f>
        <v>0</v>
      </c>
      <c r="J12" s="62">
        <f>H12+I12</f>
        <v>0</v>
      </c>
      <c r="K12" s="49"/>
      <c r="L12" s="62">
        <f>SUM(L13:L17)</f>
        <v>15.506499999999999</v>
      </c>
      <c r="M12" s="49"/>
      <c r="P12" s="63">
        <f>IF(Q12="PR",J12,SUM(O13:O17))</f>
        <v>0</v>
      </c>
      <c r="Q12" s="50"/>
      <c r="R12" s="63">
        <f>IF(Q12="HS",H12,0)</f>
        <v>0</v>
      </c>
      <c r="S12" s="63">
        <f>IF(Q12="HS",I12-P12,0)</f>
        <v>0</v>
      </c>
      <c r="T12" s="63">
        <f>IF(Q12="PS",H12,0)</f>
        <v>0</v>
      </c>
      <c r="U12" s="63">
        <f>IF(Q12="PS",I12-P12,0)</f>
        <v>0</v>
      </c>
      <c r="V12" s="63">
        <f>IF(Q12="MP",H12,0)</f>
        <v>0</v>
      </c>
      <c r="W12" s="63">
        <f>IF(Q12="MP",I12-P12,0)</f>
        <v>0</v>
      </c>
      <c r="X12" s="63">
        <f>IF(Q12="OM",H12,0)</f>
        <v>0</v>
      </c>
      <c r="Y12" s="50"/>
      <c r="AI12" s="63">
        <f>SUM(Z13:Z17)</f>
        <v>0</v>
      </c>
      <c r="AJ12" s="63">
        <f>SUM(AA13:AA17)</f>
        <v>0</v>
      </c>
      <c r="AK12" s="63">
        <f>SUM(AB13:AB17)</f>
        <v>0</v>
      </c>
    </row>
    <row r="13" spans="1:32" ht="12.75">
      <c r="A13" s="10" t="s">
        <v>7</v>
      </c>
      <c r="B13" s="10"/>
      <c r="C13" s="10" t="s">
        <v>62</v>
      </c>
      <c r="D13" s="10" t="s">
        <v>129</v>
      </c>
      <c r="E13" s="10" t="s">
        <v>206</v>
      </c>
      <c r="F13" s="33">
        <v>43.01</v>
      </c>
      <c r="H13" s="33">
        <f>ROUND(F13*AE13,2)</f>
        <v>0</v>
      </c>
      <c r="I13" s="33">
        <f>J13-H13</f>
        <v>0</v>
      </c>
      <c r="J13" s="33">
        <f>ROUND(F13*G13,2)</f>
        <v>0</v>
      </c>
      <c r="K13" s="33">
        <v>0.11</v>
      </c>
      <c r="L13" s="33">
        <f>F13*K13</f>
        <v>4.7311</v>
      </c>
      <c r="M13" s="56" t="s">
        <v>231</v>
      </c>
      <c r="N13" s="56" t="s">
        <v>9</v>
      </c>
      <c r="O13" s="33">
        <f>IF(N13="5",I13,0)</f>
        <v>0</v>
      </c>
      <c r="Z13" s="33">
        <f>IF(AD13=0,J13,0)</f>
        <v>0</v>
      </c>
      <c r="AA13" s="33">
        <f>IF(AD13=15,J13,0)</f>
        <v>0</v>
      </c>
      <c r="AB13" s="33">
        <f>IF(AD13=21,J13,0)</f>
        <v>0</v>
      </c>
      <c r="AD13" s="61">
        <v>15</v>
      </c>
      <c r="AE13" s="61">
        <f>G13*0</f>
        <v>0</v>
      </c>
      <c r="AF13" s="61">
        <f>G13*(1-0)</f>
        <v>0</v>
      </c>
    </row>
    <row r="14" ht="12.75">
      <c r="D14" s="16" t="s">
        <v>130</v>
      </c>
    </row>
    <row r="15" spans="1:32" ht="12.75">
      <c r="A15" s="10" t="s">
        <v>8</v>
      </c>
      <c r="B15" s="10"/>
      <c r="C15" s="10" t="s">
        <v>64</v>
      </c>
      <c r="D15" s="10" t="s">
        <v>133</v>
      </c>
      <c r="E15" s="10" t="s">
        <v>208</v>
      </c>
      <c r="F15" s="33">
        <v>4.26</v>
      </c>
      <c r="H15" s="33">
        <f>ROUND(F15*AE15,2)</f>
        <v>0</v>
      </c>
      <c r="I15" s="33">
        <f>J15-H15</f>
        <v>0</v>
      </c>
      <c r="J15" s="33">
        <f>ROUND(F15*G15,2)</f>
        <v>0</v>
      </c>
      <c r="K15" s="33">
        <v>0.16</v>
      </c>
      <c r="L15" s="33">
        <f>F15*K15</f>
        <v>0.6816</v>
      </c>
      <c r="M15" s="56" t="s">
        <v>231</v>
      </c>
      <c r="N15" s="56" t="s">
        <v>7</v>
      </c>
      <c r="O15" s="33">
        <f>IF(N15="5",I15,0)</f>
        <v>0</v>
      </c>
      <c r="Z15" s="33">
        <f>IF(AD15=0,J15,0)</f>
        <v>0</v>
      </c>
      <c r="AA15" s="33">
        <f>IF(AD15=15,J15,0)</f>
        <v>0</v>
      </c>
      <c r="AB15" s="33">
        <f>IF(AD15=21,J15,0)</f>
        <v>0</v>
      </c>
      <c r="AD15" s="61">
        <v>15</v>
      </c>
      <c r="AE15" s="61">
        <f>G15*0</f>
        <v>0</v>
      </c>
      <c r="AF15" s="61">
        <f>G15*(1-0)</f>
        <v>0</v>
      </c>
    </row>
    <row r="16" spans="1:32" ht="12.75">
      <c r="A16" s="10" t="s">
        <v>9</v>
      </c>
      <c r="B16" s="10"/>
      <c r="C16" s="10" t="s">
        <v>63</v>
      </c>
      <c r="D16" s="10" t="s">
        <v>131</v>
      </c>
      <c r="E16" s="10" t="s">
        <v>207</v>
      </c>
      <c r="F16" s="33">
        <v>18.9</v>
      </c>
      <c r="H16" s="33">
        <f>ROUND(F16*AE16,2)</f>
        <v>0</v>
      </c>
      <c r="I16" s="33">
        <f>J16-H16</f>
        <v>0</v>
      </c>
      <c r="J16" s="33">
        <f>ROUND(F16*G16,2)</f>
        <v>0</v>
      </c>
      <c r="K16" s="33">
        <v>0.092</v>
      </c>
      <c r="L16" s="33">
        <f>F16*K16</f>
        <v>1.7388</v>
      </c>
      <c r="M16" s="56" t="s">
        <v>231</v>
      </c>
      <c r="N16" s="56" t="s">
        <v>8</v>
      </c>
      <c r="O16" s="33">
        <f>IF(N16="5",I16,0)</f>
        <v>0</v>
      </c>
      <c r="Z16" s="33">
        <f>IF(AD16=0,J16,0)</f>
        <v>0</v>
      </c>
      <c r="AA16" s="33">
        <f>IF(AD16=15,J16,0)</f>
        <v>0</v>
      </c>
      <c r="AB16" s="33">
        <f>IF(AD16=21,J16,0)</f>
        <v>0</v>
      </c>
      <c r="AD16" s="61">
        <v>15</v>
      </c>
      <c r="AE16" s="61">
        <f>G16*0</f>
        <v>0</v>
      </c>
      <c r="AF16" s="61">
        <f>G16*(1-0)</f>
        <v>0</v>
      </c>
    </row>
    <row r="17" spans="1:32" ht="12.75">
      <c r="A17" s="10" t="s">
        <v>10</v>
      </c>
      <c r="B17" s="10"/>
      <c r="C17" s="10" t="s">
        <v>65</v>
      </c>
      <c r="D17" s="10" t="s">
        <v>134</v>
      </c>
      <c r="E17" s="10" t="s">
        <v>208</v>
      </c>
      <c r="F17" s="33">
        <v>5.57</v>
      </c>
      <c r="H17" s="33">
        <f>ROUND(F17*AE17,2)</f>
        <v>0</v>
      </c>
      <c r="I17" s="33">
        <f>J17-H17</f>
        <v>0</v>
      </c>
      <c r="J17" s="33">
        <f>ROUND(F17*G17,2)</f>
        <v>0</v>
      </c>
      <c r="K17" s="33">
        <v>1.5</v>
      </c>
      <c r="L17" s="33">
        <f>F17*K17</f>
        <v>8.355</v>
      </c>
      <c r="M17" s="56" t="s">
        <v>231</v>
      </c>
      <c r="N17" s="56" t="s">
        <v>7</v>
      </c>
      <c r="O17" s="33">
        <f>IF(N17="5",I17,0)</f>
        <v>0</v>
      </c>
      <c r="Z17" s="33">
        <f>IF(AD17=0,J17,0)</f>
        <v>0</v>
      </c>
      <c r="AA17" s="33">
        <f>IF(AD17=15,J17,0)</f>
        <v>0</v>
      </c>
      <c r="AB17" s="33">
        <f>IF(AD17=21,J17,0)</f>
        <v>0</v>
      </c>
      <c r="AD17" s="61">
        <v>15</v>
      </c>
      <c r="AE17" s="61">
        <f>G17*0</f>
        <v>0</v>
      </c>
      <c r="AF17" s="61">
        <f>G17*(1-0)</f>
        <v>0</v>
      </c>
    </row>
    <row r="18" spans="1:37" ht="12.75">
      <c r="A18" s="11"/>
      <c r="B18" s="24"/>
      <c r="C18" s="24" t="s">
        <v>9</v>
      </c>
      <c r="D18" s="24" t="s">
        <v>250</v>
      </c>
      <c r="E18" s="31"/>
      <c r="F18" s="31"/>
      <c r="G18" s="31"/>
      <c r="H18" s="63">
        <f>SUM(H19:H19)</f>
        <v>0</v>
      </c>
      <c r="I18" s="63">
        <f>SUM(I19:I19)</f>
        <v>0</v>
      </c>
      <c r="J18" s="63">
        <f>H18+I18</f>
        <v>0</v>
      </c>
      <c r="K18" s="50"/>
      <c r="L18" s="63">
        <f>SUM(L19:L19)</f>
        <v>1.6153340000000003</v>
      </c>
      <c r="M18" s="50"/>
      <c r="P18" s="63">
        <f>IF(Q18="PR",J18,SUM(O19:O19))</f>
        <v>0</v>
      </c>
      <c r="Q18" s="50"/>
      <c r="R18" s="63">
        <f>IF(Q18="HS",H18,0)</f>
        <v>0</v>
      </c>
      <c r="S18" s="63">
        <f>IF(Q18="HS",I18-P18,0)</f>
        <v>0</v>
      </c>
      <c r="T18" s="63">
        <f>IF(Q18="PS",H18,0)</f>
        <v>0</v>
      </c>
      <c r="U18" s="63">
        <f>IF(Q18="PS",I18-P18,0)</f>
        <v>0</v>
      </c>
      <c r="V18" s="63">
        <f>IF(Q18="MP",H18,0)</f>
        <v>0</v>
      </c>
      <c r="W18" s="63">
        <f>IF(Q18="MP",I18-P18,0)</f>
        <v>0</v>
      </c>
      <c r="X18" s="63">
        <f>IF(Q18="OM",H18,0)</f>
        <v>0</v>
      </c>
      <c r="Y18" s="50"/>
      <c r="AI18" s="63">
        <f>SUM(Z19:Z19)</f>
        <v>0</v>
      </c>
      <c r="AJ18" s="63">
        <f>SUM(AA19:AA19)</f>
        <v>0</v>
      </c>
      <c r="AK18" s="63">
        <f>SUM(AB19:AB19)</f>
        <v>0</v>
      </c>
    </row>
    <row r="19" spans="1:32" ht="12.75">
      <c r="A19" s="10" t="s">
        <v>11</v>
      </c>
      <c r="B19" s="10"/>
      <c r="C19" s="10" t="s">
        <v>66</v>
      </c>
      <c r="D19" s="10" t="s">
        <v>136</v>
      </c>
      <c r="E19" s="10" t="s">
        <v>209</v>
      </c>
      <c r="F19" s="33">
        <v>9.8</v>
      </c>
      <c r="H19" s="33">
        <f>ROUND(F19*AE19,2)</f>
        <v>0</v>
      </c>
      <c r="I19" s="33">
        <f>J19-H19</f>
        <v>0</v>
      </c>
      <c r="J19" s="33">
        <f>ROUND(F19*G19,2)</f>
        <v>0</v>
      </c>
      <c r="K19" s="33">
        <v>0.16483</v>
      </c>
      <c r="L19" s="33">
        <f>F19*K19</f>
        <v>1.6153340000000003</v>
      </c>
      <c r="M19" s="56" t="s">
        <v>231</v>
      </c>
      <c r="N19" s="56" t="s">
        <v>7</v>
      </c>
      <c r="O19" s="33">
        <f>IF(N19="5",I19,0)</f>
        <v>0</v>
      </c>
      <c r="Z19" s="33">
        <f>IF(AD19=0,J19,0)</f>
        <v>0</v>
      </c>
      <c r="AA19" s="33">
        <f>IF(AD19=15,J19,0)</f>
        <v>0</v>
      </c>
      <c r="AB19" s="33">
        <f>IF(AD19=21,J19,0)</f>
        <v>0</v>
      </c>
      <c r="AD19" s="61">
        <v>15</v>
      </c>
      <c r="AE19" s="61">
        <f>G19*0.275847328244275</f>
        <v>0</v>
      </c>
      <c r="AF19" s="61">
        <f>G19*(1-0.275847328244275)</f>
        <v>0</v>
      </c>
    </row>
    <row r="20" spans="1:37" ht="12.75">
      <c r="A20" s="11"/>
      <c r="B20" s="24"/>
      <c r="C20" s="24" t="s">
        <v>10</v>
      </c>
      <c r="D20" s="24" t="s">
        <v>251</v>
      </c>
      <c r="E20" s="31"/>
      <c r="F20" s="31"/>
      <c r="G20" s="31"/>
      <c r="H20" s="63">
        <f>SUM(H21:H21)</f>
        <v>0</v>
      </c>
      <c r="I20" s="63">
        <f>SUM(I21:I21)</f>
        <v>0</v>
      </c>
      <c r="J20" s="63">
        <f>H20+I20</f>
        <v>0</v>
      </c>
      <c r="K20" s="50"/>
      <c r="L20" s="63">
        <f>SUM(L21:L21)</f>
        <v>0.0026964</v>
      </c>
      <c r="M20" s="50"/>
      <c r="P20" s="63">
        <f>IF(Q20="PR",J20,SUM(O21:O21))</f>
        <v>0</v>
      </c>
      <c r="Q20" s="50"/>
      <c r="R20" s="63">
        <f>IF(Q20="HS",H20,0)</f>
        <v>0</v>
      </c>
      <c r="S20" s="63">
        <f>IF(Q20="HS",I20-P20,0)</f>
        <v>0</v>
      </c>
      <c r="T20" s="63">
        <f>IF(Q20="PS",H20,0)</f>
        <v>0</v>
      </c>
      <c r="U20" s="63">
        <f>IF(Q20="PS",I20-P20,0)</f>
        <v>0</v>
      </c>
      <c r="V20" s="63">
        <f>IF(Q20="MP",H20,0)</f>
        <v>0</v>
      </c>
      <c r="W20" s="63">
        <f>IF(Q20="MP",I20-P20,0)</f>
        <v>0</v>
      </c>
      <c r="X20" s="63">
        <f>IF(Q20="OM",H20,0)</f>
        <v>0</v>
      </c>
      <c r="Y20" s="50"/>
      <c r="AI20" s="63">
        <f>SUM(Z21:Z21)</f>
        <v>0</v>
      </c>
      <c r="AJ20" s="63">
        <f>SUM(AA21:AA21)</f>
        <v>0</v>
      </c>
      <c r="AK20" s="63">
        <f>SUM(AB21:AB21)</f>
        <v>0</v>
      </c>
    </row>
    <row r="21" spans="1:32" ht="12.75">
      <c r="A21" s="10" t="s">
        <v>12</v>
      </c>
      <c r="B21" s="10"/>
      <c r="C21" s="10" t="s">
        <v>67</v>
      </c>
      <c r="D21" s="10" t="s">
        <v>138</v>
      </c>
      <c r="E21" s="10" t="s">
        <v>206</v>
      </c>
      <c r="F21" s="33">
        <v>9.63</v>
      </c>
      <c r="H21" s="33">
        <f>ROUND(F21*AE21,2)</f>
        <v>0</v>
      </c>
      <c r="I21" s="33">
        <f>J21-H21</f>
        <v>0</v>
      </c>
      <c r="J21" s="33">
        <f>ROUND(F21*G21,2)</f>
        <v>0</v>
      </c>
      <c r="K21" s="33">
        <v>0.00028</v>
      </c>
      <c r="L21" s="33">
        <f>F21*K21</f>
        <v>0.0026964</v>
      </c>
      <c r="M21" s="56" t="s">
        <v>231</v>
      </c>
      <c r="N21" s="56" t="s">
        <v>7</v>
      </c>
      <c r="O21" s="33">
        <f>IF(N21="5",I21,0)</f>
        <v>0</v>
      </c>
      <c r="Z21" s="33">
        <f>IF(AD21=0,J21,0)</f>
        <v>0</v>
      </c>
      <c r="AA21" s="33">
        <f>IF(AD21=15,J21,0)</f>
        <v>0</v>
      </c>
      <c r="AB21" s="33">
        <f>IF(AD21=21,J21,0)</f>
        <v>0</v>
      </c>
      <c r="AD21" s="61">
        <v>15</v>
      </c>
      <c r="AE21" s="61">
        <f>G21*0.0886292390994585</f>
        <v>0</v>
      </c>
      <c r="AF21" s="61">
        <f>G21*(1-0.0886292390994585)</f>
        <v>0</v>
      </c>
    </row>
    <row r="22" spans="1:37" ht="12.75">
      <c r="A22" s="11"/>
      <c r="B22" s="24"/>
      <c r="C22" s="24" t="s">
        <v>11</v>
      </c>
      <c r="D22" s="24" t="s">
        <v>252</v>
      </c>
      <c r="E22" s="31"/>
      <c r="F22" s="31"/>
      <c r="G22" s="31"/>
      <c r="H22" s="63">
        <f>SUM(H23:H26)</f>
        <v>0</v>
      </c>
      <c r="I22" s="63">
        <f>SUM(I23:I26)</f>
        <v>0</v>
      </c>
      <c r="J22" s="63">
        <f>H22+I22</f>
        <v>0</v>
      </c>
      <c r="K22" s="50"/>
      <c r="L22" s="63">
        <f>SUM(L23:L26)</f>
        <v>16.8530552</v>
      </c>
      <c r="M22" s="50"/>
      <c r="P22" s="63">
        <f>IF(Q22="PR",J22,SUM(O23:O26))</f>
        <v>0</v>
      </c>
      <c r="Q22" s="50"/>
      <c r="R22" s="63">
        <f>IF(Q22="HS",H22,0)</f>
        <v>0</v>
      </c>
      <c r="S22" s="63">
        <f>IF(Q22="HS",I22-P22,0)</f>
        <v>0</v>
      </c>
      <c r="T22" s="63">
        <f>IF(Q22="PS",H22,0)</f>
        <v>0</v>
      </c>
      <c r="U22" s="63">
        <f>IF(Q22="PS",I22-P22,0)</f>
        <v>0</v>
      </c>
      <c r="V22" s="63">
        <f>IF(Q22="MP",H22,0)</f>
        <v>0</v>
      </c>
      <c r="W22" s="63">
        <f>IF(Q22="MP",I22-P22,0)</f>
        <v>0</v>
      </c>
      <c r="X22" s="63">
        <f>IF(Q22="OM",H22,0)</f>
        <v>0</v>
      </c>
      <c r="Y22" s="50"/>
      <c r="AI22" s="63">
        <f>SUM(Z23:Z26)</f>
        <v>0</v>
      </c>
      <c r="AJ22" s="63">
        <f>SUM(AA23:AA26)</f>
        <v>0</v>
      </c>
      <c r="AK22" s="63">
        <f>SUM(AB23:AB26)</f>
        <v>0</v>
      </c>
    </row>
    <row r="23" spans="1:32" ht="12.75">
      <c r="A23" s="10" t="s">
        <v>13</v>
      </c>
      <c r="B23" s="10"/>
      <c r="C23" s="10" t="s">
        <v>69</v>
      </c>
      <c r="D23" s="10" t="s">
        <v>140</v>
      </c>
      <c r="E23" s="10" t="s">
        <v>206</v>
      </c>
      <c r="F23" s="33">
        <v>43.01</v>
      </c>
      <c r="H23" s="33">
        <f>ROUND(F23*AE23,2)</f>
        <v>0</v>
      </c>
      <c r="I23" s="33">
        <f>J23-H23</f>
        <v>0</v>
      </c>
      <c r="J23" s="33">
        <f>ROUND(F23*G23,2)</f>
        <v>0</v>
      </c>
      <c r="K23" s="33">
        <v>0.0982</v>
      </c>
      <c r="L23" s="33">
        <f>F23*K23</f>
        <v>4.2235819999999995</v>
      </c>
      <c r="M23" s="56" t="s">
        <v>231</v>
      </c>
      <c r="N23" s="56" t="s">
        <v>7</v>
      </c>
      <c r="O23" s="33">
        <f>IF(N23="5",I23,0)</f>
        <v>0</v>
      </c>
      <c r="Z23" s="33">
        <f>IF(AD23=0,J23,0)</f>
        <v>0</v>
      </c>
      <c r="AA23" s="33">
        <f>IF(AD23=15,J23,0)</f>
        <v>0</v>
      </c>
      <c r="AB23" s="33">
        <f>IF(AD23=21,J23,0)</f>
        <v>0</v>
      </c>
      <c r="AD23" s="61">
        <v>15</v>
      </c>
      <c r="AE23" s="61">
        <f>G23*0.6768</f>
        <v>0</v>
      </c>
      <c r="AF23" s="61">
        <f>G23*(1-0.6768)</f>
        <v>0</v>
      </c>
    </row>
    <row r="24" spans="1:32" ht="12.75">
      <c r="A24" s="10" t="s">
        <v>14</v>
      </c>
      <c r="B24" s="10"/>
      <c r="C24" s="10" t="s">
        <v>70</v>
      </c>
      <c r="D24" s="10" t="s">
        <v>141</v>
      </c>
      <c r="E24" s="10" t="s">
        <v>206</v>
      </c>
      <c r="F24" s="33">
        <v>43.01</v>
      </c>
      <c r="H24" s="33">
        <f>ROUND(F24*AE24,2)</f>
        <v>0</v>
      </c>
      <c r="I24" s="33">
        <f>J24-H24</f>
        <v>0</v>
      </c>
      <c r="J24" s="33">
        <f>ROUND(F24*G24,2)</f>
        <v>0</v>
      </c>
      <c r="K24" s="33">
        <v>0.18907</v>
      </c>
      <c r="L24" s="33">
        <f>F24*K24</f>
        <v>8.1319007</v>
      </c>
      <c r="M24" s="56" t="s">
        <v>231</v>
      </c>
      <c r="N24" s="56" t="s">
        <v>7</v>
      </c>
      <c r="O24" s="33">
        <f>IF(N24="5",I24,0)</f>
        <v>0</v>
      </c>
      <c r="Z24" s="33">
        <f>IF(AD24=0,J24,0)</f>
        <v>0</v>
      </c>
      <c r="AA24" s="33">
        <f>IF(AD24=15,J24,0)</f>
        <v>0</v>
      </c>
      <c r="AB24" s="33">
        <f>IF(AD24=21,J24,0)</f>
        <v>0</v>
      </c>
      <c r="AD24" s="61">
        <v>15</v>
      </c>
      <c r="AE24" s="61">
        <f>G24*0.810323253388947</f>
        <v>0</v>
      </c>
      <c r="AF24" s="61">
        <f>G24*(1-0.810323253388947)</f>
        <v>0</v>
      </c>
    </row>
    <row r="25" spans="1:32" ht="12.75">
      <c r="A25" s="10" t="s">
        <v>15</v>
      </c>
      <c r="B25" s="10"/>
      <c r="C25" s="10" t="s">
        <v>71</v>
      </c>
      <c r="D25" s="10" t="s">
        <v>142</v>
      </c>
      <c r="E25" s="10" t="s">
        <v>206</v>
      </c>
      <c r="F25" s="33">
        <v>43.01</v>
      </c>
      <c r="H25" s="33">
        <f>ROUND(F25*AE25,2)</f>
        <v>0</v>
      </c>
      <c r="I25" s="33">
        <f>J25-H25</f>
        <v>0</v>
      </c>
      <c r="J25" s="33">
        <f>ROUND(F25*G25,2)</f>
        <v>0</v>
      </c>
      <c r="K25" s="33">
        <v>0.06185</v>
      </c>
      <c r="L25" s="33">
        <f>F25*K25</f>
        <v>2.6601685</v>
      </c>
      <c r="M25" s="56" t="s">
        <v>231</v>
      </c>
      <c r="N25" s="56" t="s">
        <v>7</v>
      </c>
      <c r="O25" s="33">
        <f>IF(N25="5",I25,0)</f>
        <v>0</v>
      </c>
      <c r="Z25" s="33">
        <f>IF(AD25=0,J25,0)</f>
        <v>0</v>
      </c>
      <c r="AA25" s="33">
        <f>IF(AD25=15,J25,0)</f>
        <v>0</v>
      </c>
      <c r="AB25" s="33">
        <f>IF(AD25=21,J25,0)</f>
        <v>0</v>
      </c>
      <c r="AD25" s="61">
        <v>15</v>
      </c>
      <c r="AE25" s="61">
        <f>G25*0.538383838383838</f>
        <v>0</v>
      </c>
      <c r="AF25" s="61">
        <f>G25*(1-0.538383838383838)</f>
        <v>0</v>
      </c>
    </row>
    <row r="26" spans="1:32" ht="12.75">
      <c r="A26" s="10" t="s">
        <v>16</v>
      </c>
      <c r="B26" s="10"/>
      <c r="C26" s="10" t="s">
        <v>72</v>
      </c>
      <c r="D26" s="10" t="s">
        <v>143</v>
      </c>
      <c r="E26" s="10" t="s">
        <v>206</v>
      </c>
      <c r="F26" s="33">
        <v>9.63</v>
      </c>
      <c r="H26" s="33">
        <f>ROUND(F26*AE26,2)</f>
        <v>0</v>
      </c>
      <c r="I26" s="33">
        <f>J26-H26</f>
        <v>0</v>
      </c>
      <c r="J26" s="33">
        <f>ROUND(F26*G26,2)</f>
        <v>0</v>
      </c>
      <c r="K26" s="33">
        <v>0.1908</v>
      </c>
      <c r="L26" s="33">
        <f>F26*K26</f>
        <v>1.837404</v>
      </c>
      <c r="M26" s="56" t="s">
        <v>231</v>
      </c>
      <c r="N26" s="56" t="s">
        <v>7</v>
      </c>
      <c r="O26" s="33">
        <f>IF(N26="5",I26,0)</f>
        <v>0</v>
      </c>
      <c r="Z26" s="33">
        <f>IF(AD26=0,J26,0)</f>
        <v>0</v>
      </c>
      <c r="AA26" s="33">
        <f>IF(AD26=15,J26,0)</f>
        <v>0</v>
      </c>
      <c r="AB26" s="33">
        <f>IF(AD26=21,J26,0)</f>
        <v>0</v>
      </c>
      <c r="AD26" s="61">
        <v>15</v>
      </c>
      <c r="AE26" s="61">
        <f>G26*0.0606400898371701</f>
        <v>0</v>
      </c>
      <c r="AF26" s="61">
        <f>G26*(1-0.0606400898371701)</f>
        <v>0</v>
      </c>
    </row>
    <row r="27" spans="1:37" ht="12.75">
      <c r="A27" s="11"/>
      <c r="B27" s="24"/>
      <c r="C27" s="24" t="s">
        <v>12</v>
      </c>
      <c r="D27" s="24" t="s">
        <v>253</v>
      </c>
      <c r="E27" s="31"/>
      <c r="F27" s="31"/>
      <c r="G27" s="31"/>
      <c r="H27" s="63">
        <f>SUM(H28:H32)</f>
        <v>0</v>
      </c>
      <c r="I27" s="63">
        <f>SUM(I28:I32)</f>
        <v>0</v>
      </c>
      <c r="J27" s="63">
        <f>H27+I27</f>
        <v>0</v>
      </c>
      <c r="K27" s="50"/>
      <c r="L27" s="63">
        <f>SUM(L28:L32)</f>
        <v>17.978322000000002</v>
      </c>
      <c r="M27" s="50"/>
      <c r="P27" s="63">
        <f>IF(Q27="PR",J27,SUM(O28:O32))</f>
        <v>0</v>
      </c>
      <c r="Q27" s="50" t="s">
        <v>235</v>
      </c>
      <c r="R27" s="63">
        <f>IF(Q27="HS",H27,0)</f>
        <v>0</v>
      </c>
      <c r="S27" s="63">
        <f>IF(Q27="HS",I27-P27,0)</f>
        <v>0</v>
      </c>
      <c r="T27" s="63">
        <f>IF(Q27="PS",H27,0)</f>
        <v>0</v>
      </c>
      <c r="U27" s="63">
        <f>IF(Q27="PS",I27-P27,0)</f>
        <v>0</v>
      </c>
      <c r="V27" s="63">
        <f>IF(Q27="MP",H27,0)</f>
        <v>0</v>
      </c>
      <c r="W27" s="63">
        <f>IF(Q27="MP",I27-P27,0)</f>
        <v>0</v>
      </c>
      <c r="X27" s="63">
        <f>IF(Q27="OM",H27,0)</f>
        <v>0</v>
      </c>
      <c r="Y27" s="50"/>
      <c r="AI27" s="63">
        <f>SUM(Z28:Z32)</f>
        <v>0</v>
      </c>
      <c r="AJ27" s="63">
        <f>SUM(AA28:AA32)</f>
        <v>0</v>
      </c>
      <c r="AK27" s="63">
        <f>SUM(AB28:AB32)</f>
        <v>0</v>
      </c>
    </row>
    <row r="28" spans="1:32" ht="12.75">
      <c r="A28" s="10" t="s">
        <v>17</v>
      </c>
      <c r="B28" s="10"/>
      <c r="C28" s="10" t="s">
        <v>77</v>
      </c>
      <c r="D28" s="10" t="s">
        <v>149</v>
      </c>
      <c r="E28" s="10" t="s">
        <v>206</v>
      </c>
      <c r="F28" s="33">
        <v>5.64</v>
      </c>
      <c r="H28" s="33">
        <f>ROUND(F28*AE28,2)</f>
        <v>0</v>
      </c>
      <c r="I28" s="33">
        <f>J28-H28</f>
        <v>0</v>
      </c>
      <c r="J28" s="33">
        <f>ROUND(F28*G28,2)</f>
        <v>0</v>
      </c>
      <c r="K28" s="33">
        <v>0.008</v>
      </c>
      <c r="L28" s="33">
        <f>F28*K28</f>
        <v>0.04512</v>
      </c>
      <c r="M28" s="56" t="s">
        <v>231</v>
      </c>
      <c r="N28" s="56" t="s">
        <v>7</v>
      </c>
      <c r="O28" s="33">
        <f>IF(N28="5",I28,0)</f>
        <v>0</v>
      </c>
      <c r="Z28" s="33">
        <f>IF(AD28=0,J28,0)</f>
        <v>0</v>
      </c>
      <c r="AA28" s="33">
        <f>IF(AD28=15,J28,0)</f>
        <v>0</v>
      </c>
      <c r="AB28" s="33">
        <f>IF(AD28=21,J28,0)</f>
        <v>0</v>
      </c>
      <c r="AD28" s="61">
        <v>15</v>
      </c>
      <c r="AE28" s="61">
        <f>G28*0.575969962453066</f>
        <v>0</v>
      </c>
      <c r="AF28" s="61">
        <f>G28*(1-0.575969962453066)</f>
        <v>0</v>
      </c>
    </row>
    <row r="29" spans="1:32" ht="12.75">
      <c r="A29" s="10" t="s">
        <v>18</v>
      </c>
      <c r="B29" s="10"/>
      <c r="C29" s="10" t="s">
        <v>79</v>
      </c>
      <c r="D29" s="10" t="s">
        <v>151</v>
      </c>
      <c r="E29" s="10" t="s">
        <v>206</v>
      </c>
      <c r="F29" s="33">
        <v>32.74</v>
      </c>
      <c r="H29" s="33">
        <f>ROUND(F29*AE29,2)</f>
        <v>0</v>
      </c>
      <c r="I29" s="33">
        <f>J29-H29</f>
        <v>0</v>
      </c>
      <c r="J29" s="33">
        <f>ROUND(F29*G29,2)</f>
        <v>0</v>
      </c>
      <c r="K29" s="33">
        <v>0.27827</v>
      </c>
      <c r="L29" s="33">
        <f>F29*K29</f>
        <v>9.1105598</v>
      </c>
      <c r="M29" s="56" t="s">
        <v>231</v>
      </c>
      <c r="N29" s="56" t="s">
        <v>7</v>
      </c>
      <c r="O29" s="33">
        <f>IF(N29="5",I29,0)</f>
        <v>0</v>
      </c>
      <c r="Z29" s="33">
        <f>IF(AD29=0,J29,0)</f>
        <v>0</v>
      </c>
      <c r="AA29" s="33">
        <f>IF(AD29=15,J29,0)</f>
        <v>0</v>
      </c>
      <c r="AB29" s="33">
        <f>IF(AD29=21,J29,0)</f>
        <v>0</v>
      </c>
      <c r="AD29" s="61">
        <v>15</v>
      </c>
      <c r="AE29" s="61">
        <f>G29*0.749758069106848</f>
        <v>0</v>
      </c>
      <c r="AF29" s="61">
        <f>G29*(1-0.749758069106848)</f>
        <v>0</v>
      </c>
    </row>
    <row r="30" spans="1:32" ht="12.75">
      <c r="A30" s="10" t="s">
        <v>19</v>
      </c>
      <c r="B30" s="10"/>
      <c r="C30" s="10" t="s">
        <v>75</v>
      </c>
      <c r="D30" s="10" t="s">
        <v>147</v>
      </c>
      <c r="E30" s="10" t="s">
        <v>206</v>
      </c>
      <c r="F30" s="33">
        <v>7.64</v>
      </c>
      <c r="H30" s="33">
        <f>ROUND(F30*AE30,2)</f>
        <v>0</v>
      </c>
      <c r="I30" s="33">
        <f>J30-H30</f>
        <v>0</v>
      </c>
      <c r="J30" s="33">
        <f>ROUND(F30*G30,2)</f>
        <v>0</v>
      </c>
      <c r="K30" s="33">
        <v>0.0052</v>
      </c>
      <c r="L30" s="33">
        <f>F30*K30</f>
        <v>0.039728</v>
      </c>
      <c r="M30" s="56" t="s">
        <v>231</v>
      </c>
      <c r="N30" s="56" t="s">
        <v>7</v>
      </c>
      <c r="O30" s="33">
        <f>IF(N30="5",I30,0)</f>
        <v>0</v>
      </c>
      <c r="Z30" s="33">
        <f>IF(AD30=0,J30,0)</f>
        <v>0</v>
      </c>
      <c r="AA30" s="33">
        <f>IF(AD30=15,J30,0)</f>
        <v>0</v>
      </c>
      <c r="AB30" s="33">
        <f>IF(AD30=21,J30,0)</f>
        <v>0</v>
      </c>
      <c r="AD30" s="61">
        <v>15</v>
      </c>
      <c r="AE30" s="61">
        <f>G30*0.0422</f>
        <v>0</v>
      </c>
      <c r="AF30" s="61">
        <f>G30*(1-0.0422)</f>
        <v>0</v>
      </c>
    </row>
    <row r="31" spans="1:32" ht="12.75">
      <c r="A31" s="10" t="s">
        <v>20</v>
      </c>
      <c r="B31" s="10"/>
      <c r="C31" s="10" t="s">
        <v>80</v>
      </c>
      <c r="D31" s="10" t="s">
        <v>152</v>
      </c>
      <c r="E31" s="10" t="s">
        <v>206</v>
      </c>
      <c r="F31" s="33">
        <v>36.25</v>
      </c>
      <c r="H31" s="33">
        <f>ROUND(F31*AE31,2)</f>
        <v>0</v>
      </c>
      <c r="I31" s="33">
        <f>J31-H31</f>
        <v>0</v>
      </c>
      <c r="J31" s="33">
        <f>ROUND(F31*G31,2)</f>
        <v>0</v>
      </c>
      <c r="K31" s="33">
        <v>0.24155</v>
      </c>
      <c r="L31" s="33">
        <f>F31*K31</f>
        <v>8.7561875</v>
      </c>
      <c r="M31" s="56" t="s">
        <v>231</v>
      </c>
      <c r="N31" s="56" t="s">
        <v>7</v>
      </c>
      <c r="O31" s="33">
        <f>IF(N31="5",I31,0)</f>
        <v>0</v>
      </c>
      <c r="Z31" s="33">
        <f>IF(AD31=0,J31,0)</f>
        <v>0</v>
      </c>
      <c r="AA31" s="33">
        <f>IF(AD31=15,J31,0)</f>
        <v>0</v>
      </c>
      <c r="AB31" s="33">
        <f>IF(AD31=21,J31,0)</f>
        <v>0</v>
      </c>
      <c r="AD31" s="61">
        <v>15</v>
      </c>
      <c r="AE31" s="61">
        <f>G31*0.633807673739626</f>
        <v>0</v>
      </c>
      <c r="AF31" s="61">
        <f>G31*(1-0.633807673739626)</f>
        <v>0</v>
      </c>
    </row>
    <row r="32" spans="1:32" ht="12.75">
      <c r="A32" s="10" t="s">
        <v>21</v>
      </c>
      <c r="B32" s="10"/>
      <c r="C32" s="10" t="s">
        <v>73</v>
      </c>
      <c r="D32" s="10" t="s">
        <v>145</v>
      </c>
      <c r="E32" s="10" t="s">
        <v>206</v>
      </c>
      <c r="F32" s="33">
        <v>11.57</v>
      </c>
      <c r="H32" s="33">
        <f>ROUND(F32*AE32,2)</f>
        <v>0</v>
      </c>
      <c r="I32" s="33">
        <f>J32-H32</f>
        <v>0</v>
      </c>
      <c r="J32" s="33">
        <f>ROUND(F32*G32,2)</f>
        <v>0</v>
      </c>
      <c r="K32" s="33">
        <v>0.00231</v>
      </c>
      <c r="L32" s="33">
        <f>F32*K32</f>
        <v>0.0267267</v>
      </c>
      <c r="M32" s="56" t="s">
        <v>231</v>
      </c>
      <c r="N32" s="56" t="s">
        <v>7</v>
      </c>
      <c r="O32" s="33">
        <f>IF(N32="5",I32,0)</f>
        <v>0</v>
      </c>
      <c r="Z32" s="33">
        <f>IF(AD32=0,J32,0)</f>
        <v>0</v>
      </c>
      <c r="AA32" s="33">
        <f>IF(AD32=15,J32,0)</f>
        <v>0</v>
      </c>
      <c r="AB32" s="33">
        <f>IF(AD32=21,J32,0)</f>
        <v>0</v>
      </c>
      <c r="AD32" s="61">
        <v>15</v>
      </c>
      <c r="AE32" s="61">
        <f>G32*0.459846569996896</f>
        <v>0</v>
      </c>
      <c r="AF32" s="61">
        <f>G32*(1-0.459846569996896)</f>
        <v>0</v>
      </c>
    </row>
    <row r="33" spans="1:37" ht="12.75">
      <c r="A33" s="11"/>
      <c r="B33" s="24"/>
      <c r="C33" s="24" t="s">
        <v>246</v>
      </c>
      <c r="D33" s="24" t="s">
        <v>254</v>
      </c>
      <c r="E33" s="31"/>
      <c r="F33" s="31"/>
      <c r="G33" s="31"/>
      <c r="H33" s="63">
        <f>SUM(H34:H34)</f>
        <v>0</v>
      </c>
      <c r="I33" s="63">
        <f>SUM(I34:I34)</f>
        <v>0</v>
      </c>
      <c r="J33" s="63">
        <f>H33+I33</f>
        <v>0</v>
      </c>
      <c r="K33" s="50"/>
      <c r="L33" s="63">
        <f>SUM(L34:L34)</f>
        <v>0.00236</v>
      </c>
      <c r="M33" s="50"/>
      <c r="P33" s="63">
        <f>IF(Q33="PR",J33,SUM(O34:O34))</f>
        <v>0</v>
      </c>
      <c r="Q33" s="50" t="s">
        <v>235</v>
      </c>
      <c r="R33" s="63">
        <f>IF(Q33="HS",H33,0)</f>
        <v>0</v>
      </c>
      <c r="S33" s="63">
        <f>IF(Q33="HS",I33-P33,0)</f>
        <v>0</v>
      </c>
      <c r="T33" s="63">
        <f>IF(Q33="PS",H33,0)</f>
        <v>0</v>
      </c>
      <c r="U33" s="63">
        <f>IF(Q33="PS",I33-P33,0)</f>
        <v>0</v>
      </c>
      <c r="V33" s="63">
        <f>IF(Q33="MP",H33,0)</f>
        <v>0</v>
      </c>
      <c r="W33" s="63">
        <f>IF(Q33="MP",I33-P33,0)</f>
        <v>0</v>
      </c>
      <c r="X33" s="63">
        <f>IF(Q33="OM",H33,0)</f>
        <v>0</v>
      </c>
      <c r="Y33" s="50"/>
      <c r="AI33" s="63">
        <f>SUM(Z34:Z34)</f>
        <v>0</v>
      </c>
      <c r="AJ33" s="63">
        <f>SUM(AA34:AA34)</f>
        <v>0</v>
      </c>
      <c r="AK33" s="63">
        <f>SUM(AB34:AB34)</f>
        <v>0</v>
      </c>
    </row>
    <row r="34" spans="1:32" ht="12.75">
      <c r="A34" s="10" t="s">
        <v>22</v>
      </c>
      <c r="B34" s="10"/>
      <c r="C34" s="10" t="s">
        <v>82</v>
      </c>
      <c r="D34" s="10" t="s">
        <v>154</v>
      </c>
      <c r="E34" s="10" t="s">
        <v>206</v>
      </c>
      <c r="F34" s="33">
        <v>29.5</v>
      </c>
      <c r="H34" s="33">
        <f>ROUND(F34*AE34,2)</f>
        <v>0</v>
      </c>
      <c r="I34" s="33">
        <f>J34-H34</f>
        <v>0</v>
      </c>
      <c r="J34" s="33">
        <f>ROUND(F34*G34,2)</f>
        <v>0</v>
      </c>
      <c r="K34" s="33">
        <v>8E-05</v>
      </c>
      <c r="L34" s="33">
        <f>F34*K34</f>
        <v>0.00236</v>
      </c>
      <c r="M34" s="56" t="s">
        <v>231</v>
      </c>
      <c r="N34" s="56" t="s">
        <v>7</v>
      </c>
      <c r="O34" s="33">
        <f>IF(N34="5",I34,0)</f>
        <v>0</v>
      </c>
      <c r="Z34" s="33">
        <f>IF(AD34=0,J34,0)</f>
        <v>0</v>
      </c>
      <c r="AA34" s="33">
        <f>IF(AD34=15,J34,0)</f>
        <v>0</v>
      </c>
      <c r="AB34" s="33">
        <f>IF(AD34=21,J34,0)</f>
        <v>0</v>
      </c>
      <c r="AD34" s="61">
        <v>15</v>
      </c>
      <c r="AE34" s="61">
        <f>G34*0.415189189189189</f>
        <v>0</v>
      </c>
      <c r="AF34" s="61">
        <f>G34*(1-0.415189189189189)</f>
        <v>0</v>
      </c>
    </row>
    <row r="35" spans="1:37" ht="12.75">
      <c r="A35" s="11"/>
      <c r="B35" s="24"/>
      <c r="C35" s="24" t="s">
        <v>247</v>
      </c>
      <c r="D35" s="24" t="s">
        <v>255</v>
      </c>
      <c r="E35" s="31"/>
      <c r="F35" s="31"/>
      <c r="G35" s="31"/>
      <c r="H35" s="63">
        <f>SUM(H36:H45)</f>
        <v>0</v>
      </c>
      <c r="I35" s="63">
        <f>SUM(I36:I45)</f>
        <v>0</v>
      </c>
      <c r="J35" s="63">
        <f>H35+I35</f>
        <v>0</v>
      </c>
      <c r="K35" s="50"/>
      <c r="L35" s="63">
        <f>SUM(L36:L45)</f>
        <v>0.2017412</v>
      </c>
      <c r="M35" s="50"/>
      <c r="P35" s="63">
        <f>IF(Q35="PR",J35,SUM(O36:O45))</f>
        <v>0</v>
      </c>
      <c r="Q35" s="50" t="s">
        <v>235</v>
      </c>
      <c r="R35" s="63">
        <f>IF(Q35="HS",H35,0)</f>
        <v>0</v>
      </c>
      <c r="S35" s="63">
        <f>IF(Q35="HS",I35-P35,0)</f>
        <v>0</v>
      </c>
      <c r="T35" s="63">
        <f>IF(Q35="PS",H35,0)</f>
        <v>0</v>
      </c>
      <c r="U35" s="63">
        <f>IF(Q35="PS",I35-P35,0)</f>
        <v>0</v>
      </c>
      <c r="V35" s="63">
        <f>IF(Q35="MP",H35,0)</f>
        <v>0</v>
      </c>
      <c r="W35" s="63">
        <f>IF(Q35="MP",I35-P35,0)</f>
        <v>0</v>
      </c>
      <c r="X35" s="63">
        <f>IF(Q35="OM",H35,0)</f>
        <v>0</v>
      </c>
      <c r="Y35" s="50"/>
      <c r="AI35" s="63">
        <f>SUM(Z36:Z45)</f>
        <v>0</v>
      </c>
      <c r="AJ35" s="63">
        <f>SUM(AA36:AA45)</f>
        <v>0</v>
      </c>
      <c r="AK35" s="63">
        <f>SUM(AB36:AB45)</f>
        <v>0</v>
      </c>
    </row>
    <row r="36" spans="1:32" ht="12.75">
      <c r="A36" s="10" t="s">
        <v>23</v>
      </c>
      <c r="B36" s="10"/>
      <c r="C36" s="10" t="s">
        <v>84</v>
      </c>
      <c r="D36" s="10" t="s">
        <v>156</v>
      </c>
      <c r="E36" s="10" t="s">
        <v>207</v>
      </c>
      <c r="F36" s="33">
        <v>5.2</v>
      </c>
      <c r="H36" s="33">
        <f>ROUND(F36*AE36,2)</f>
        <v>0</v>
      </c>
      <c r="I36" s="33">
        <f>J36-H36</f>
        <v>0</v>
      </c>
      <c r="J36" s="33">
        <f>ROUND(F36*G36,2)</f>
        <v>0</v>
      </c>
      <c r="K36" s="33">
        <v>0.00181</v>
      </c>
      <c r="L36" s="33">
        <f>F36*K36</f>
        <v>0.009412</v>
      </c>
      <c r="M36" s="56" t="s">
        <v>231</v>
      </c>
      <c r="N36" s="56" t="s">
        <v>9</v>
      </c>
      <c r="O36" s="33">
        <f>IF(N36="5",I36,0)</f>
        <v>0</v>
      </c>
      <c r="Z36" s="33">
        <f>IF(AD36=0,J36,0)</f>
        <v>0</v>
      </c>
      <c r="AA36" s="33">
        <f>IF(AD36=15,J36,0)</f>
        <v>0</v>
      </c>
      <c r="AB36" s="33">
        <f>IF(AD36=21,J36,0)</f>
        <v>0</v>
      </c>
      <c r="AD36" s="61">
        <v>15</v>
      </c>
      <c r="AE36" s="61">
        <f>G36*0</f>
        <v>0</v>
      </c>
      <c r="AF36" s="61">
        <f>G36*(1-0)</f>
        <v>0</v>
      </c>
    </row>
    <row r="37" spans="1:32" ht="12.75">
      <c r="A37" s="10" t="s">
        <v>24</v>
      </c>
      <c r="B37" s="10"/>
      <c r="C37" s="10" t="s">
        <v>88</v>
      </c>
      <c r="D37" s="10" t="s">
        <v>160</v>
      </c>
      <c r="E37" s="10" t="s">
        <v>210</v>
      </c>
      <c r="F37" s="33">
        <v>6</v>
      </c>
      <c r="H37" s="33">
        <f>ROUND(F37*AE37,2)</f>
        <v>0</v>
      </c>
      <c r="I37" s="33">
        <f>J37-H37</f>
        <v>0</v>
      </c>
      <c r="J37" s="33">
        <f>ROUND(F37*G37,2)</f>
        <v>0</v>
      </c>
      <c r="K37" s="33">
        <v>0.0012</v>
      </c>
      <c r="L37" s="33">
        <f>F37*K37</f>
        <v>0.0072</v>
      </c>
      <c r="M37" s="56" t="s">
        <v>231</v>
      </c>
      <c r="N37" s="56" t="s">
        <v>7</v>
      </c>
      <c r="O37" s="33">
        <f>IF(N37="5",I37,0)</f>
        <v>0</v>
      </c>
      <c r="Z37" s="33">
        <f>IF(AD37=0,J37,0)</f>
        <v>0</v>
      </c>
      <c r="AA37" s="33">
        <f>IF(AD37=15,J37,0)</f>
        <v>0</v>
      </c>
      <c r="AB37" s="33">
        <f>IF(AD37=21,J37,0)</f>
        <v>0</v>
      </c>
      <c r="AD37" s="61">
        <v>15</v>
      </c>
      <c r="AE37" s="61">
        <f>G37*0.124138148822619</f>
        <v>0</v>
      </c>
      <c r="AF37" s="61">
        <f>G37*(1-0.124138148822619)</f>
        <v>0</v>
      </c>
    </row>
    <row r="38" spans="1:32" ht="12.75">
      <c r="A38" s="10" t="s">
        <v>25</v>
      </c>
      <c r="B38" s="10"/>
      <c r="C38" s="10" t="s">
        <v>89</v>
      </c>
      <c r="D38" s="10" t="s">
        <v>161</v>
      </c>
      <c r="E38" s="10" t="s">
        <v>210</v>
      </c>
      <c r="F38" s="33">
        <v>2</v>
      </c>
      <c r="H38" s="33">
        <f>ROUND(F38*AE38,2)</f>
        <v>0</v>
      </c>
      <c r="I38" s="33">
        <f>J38-H38</f>
        <v>0</v>
      </c>
      <c r="J38" s="33">
        <f>ROUND(F38*G38,2)</f>
        <v>0</v>
      </c>
      <c r="K38" s="33">
        <v>0.00165</v>
      </c>
      <c r="L38" s="33">
        <f>F38*K38</f>
        <v>0.0033</v>
      </c>
      <c r="M38" s="56" t="s">
        <v>231</v>
      </c>
      <c r="N38" s="56" t="s">
        <v>7</v>
      </c>
      <c r="O38" s="33">
        <f>IF(N38="5",I38,0)</f>
        <v>0</v>
      </c>
      <c r="Z38" s="33">
        <f>IF(AD38=0,J38,0)</f>
        <v>0</v>
      </c>
      <c r="AA38" s="33">
        <f>IF(AD38=15,J38,0)</f>
        <v>0</v>
      </c>
      <c r="AB38" s="33">
        <f>IF(AD38=21,J38,0)</f>
        <v>0</v>
      </c>
      <c r="AD38" s="61">
        <v>15</v>
      </c>
      <c r="AE38" s="61">
        <f>G38*0.155127272727273</f>
        <v>0</v>
      </c>
      <c r="AF38" s="61">
        <f>G38*(1-0.155127272727273)</f>
        <v>0</v>
      </c>
    </row>
    <row r="39" spans="1:32" ht="12.75">
      <c r="A39" s="10" t="s">
        <v>26</v>
      </c>
      <c r="B39" s="10"/>
      <c r="C39" s="10" t="s">
        <v>90</v>
      </c>
      <c r="D39" s="10" t="s">
        <v>162</v>
      </c>
      <c r="E39" s="10" t="s">
        <v>210</v>
      </c>
      <c r="F39" s="33">
        <v>1</v>
      </c>
      <c r="H39" s="33">
        <f>ROUND(F39*AE39,2)</f>
        <v>0</v>
      </c>
      <c r="I39" s="33">
        <f>J39-H39</f>
        <v>0</v>
      </c>
      <c r="J39" s="33">
        <f>ROUND(F39*G39,2)</f>
        <v>0</v>
      </c>
      <c r="K39" s="33">
        <v>0.00168</v>
      </c>
      <c r="L39" s="33">
        <f>F39*K39</f>
        <v>0.00168</v>
      </c>
      <c r="M39" s="56" t="s">
        <v>231</v>
      </c>
      <c r="N39" s="56" t="s">
        <v>7</v>
      </c>
      <c r="O39" s="33">
        <f>IF(N39="5",I39,0)</f>
        <v>0</v>
      </c>
      <c r="Z39" s="33">
        <f>IF(AD39=0,J39,0)</f>
        <v>0</v>
      </c>
      <c r="AA39" s="33">
        <f>IF(AD39=15,J39,0)</f>
        <v>0</v>
      </c>
      <c r="AB39" s="33">
        <f>IF(AD39=21,J39,0)</f>
        <v>0</v>
      </c>
      <c r="AD39" s="61">
        <v>15</v>
      </c>
      <c r="AE39" s="61">
        <f>G39*0.170772607550483</f>
        <v>0</v>
      </c>
      <c r="AF39" s="61">
        <f>G39*(1-0.170772607550483)</f>
        <v>0</v>
      </c>
    </row>
    <row r="40" spans="1:32" ht="12.75">
      <c r="A40" s="12" t="s">
        <v>27</v>
      </c>
      <c r="B40" s="12"/>
      <c r="C40" s="12" t="s">
        <v>85</v>
      </c>
      <c r="D40" s="12" t="s">
        <v>157</v>
      </c>
      <c r="E40" s="12" t="s">
        <v>207</v>
      </c>
      <c r="F40" s="34">
        <v>14.37</v>
      </c>
      <c r="H40" s="34">
        <f>ROUND(F40*AE40,2)</f>
        <v>0</v>
      </c>
      <c r="I40" s="34">
        <f>J40-H40</f>
        <v>0</v>
      </c>
      <c r="J40" s="34">
        <f>ROUND(F40*G40,2)</f>
        <v>0</v>
      </c>
      <c r="K40" s="34">
        <v>0.0018</v>
      </c>
      <c r="L40" s="34">
        <f>F40*K40</f>
        <v>0.025865999999999997</v>
      </c>
      <c r="M40" s="57" t="s">
        <v>231</v>
      </c>
      <c r="N40" s="57" t="s">
        <v>232</v>
      </c>
      <c r="O40" s="34">
        <f>IF(N40="5",I40,0)</f>
        <v>0</v>
      </c>
      <c r="Z40" s="34">
        <f>IF(AD40=0,J40,0)</f>
        <v>0</v>
      </c>
      <c r="AA40" s="34">
        <f>IF(AD40=15,J40,0)</f>
        <v>0</v>
      </c>
      <c r="AB40" s="34">
        <f>IF(AD40=21,J40,0)</f>
        <v>0</v>
      </c>
      <c r="AD40" s="61">
        <v>15</v>
      </c>
      <c r="AE40" s="61">
        <f>G40*1</f>
        <v>0</v>
      </c>
      <c r="AF40" s="61">
        <f>G40*(1-1)</f>
        <v>0</v>
      </c>
    </row>
    <row r="41" spans="1:32" ht="12.75">
      <c r="A41" s="10" t="s">
        <v>28</v>
      </c>
      <c r="B41" s="10"/>
      <c r="C41" s="10" t="s">
        <v>86</v>
      </c>
      <c r="D41" s="10" t="s">
        <v>158</v>
      </c>
      <c r="E41" s="10" t="s">
        <v>207</v>
      </c>
      <c r="F41" s="33">
        <v>14.37</v>
      </c>
      <c r="H41" s="33">
        <f>ROUND(F41*AE41,2)</f>
        <v>0</v>
      </c>
      <c r="I41" s="33">
        <f>J41-H41</f>
        <v>0</v>
      </c>
      <c r="J41" s="33">
        <f>ROUND(F41*G41,2)</f>
        <v>0</v>
      </c>
      <c r="K41" s="33">
        <v>0.00093</v>
      </c>
      <c r="L41" s="33">
        <f>F41*K41</f>
        <v>0.0133641</v>
      </c>
      <c r="M41" s="56" t="s">
        <v>231</v>
      </c>
      <c r="N41" s="56" t="s">
        <v>7</v>
      </c>
      <c r="O41" s="33">
        <f>IF(N41="5",I41,0)</f>
        <v>0</v>
      </c>
      <c r="Z41" s="33">
        <f>IF(AD41=0,J41,0)</f>
        <v>0</v>
      </c>
      <c r="AA41" s="33">
        <f>IF(AD41=15,J41,0)</f>
        <v>0</v>
      </c>
      <c r="AB41" s="33">
        <f>IF(AD41=21,J41,0)</f>
        <v>0</v>
      </c>
      <c r="AD41" s="61">
        <v>15</v>
      </c>
      <c r="AE41" s="61">
        <f>G41*0.0546324759718277</f>
        <v>0</v>
      </c>
      <c r="AF41" s="61">
        <f>G41*(1-0.0546324759718277)</f>
        <v>0</v>
      </c>
    </row>
    <row r="42" spans="1:32" ht="12.75">
      <c r="A42" s="12" t="s">
        <v>29</v>
      </c>
      <c r="B42" s="12"/>
      <c r="C42" s="12" t="s">
        <v>91</v>
      </c>
      <c r="D42" s="12" t="s">
        <v>163</v>
      </c>
      <c r="E42" s="12" t="s">
        <v>207</v>
      </c>
      <c r="F42" s="34">
        <v>14.37</v>
      </c>
      <c r="H42" s="34">
        <f>ROUND(F42*AE42,2)</f>
        <v>0</v>
      </c>
      <c r="I42" s="34">
        <f>J42-H42</f>
        <v>0</v>
      </c>
      <c r="J42" s="34">
        <f>ROUND(F42*G42,2)</f>
        <v>0</v>
      </c>
      <c r="K42" s="34">
        <v>0.00243</v>
      </c>
      <c r="L42" s="34">
        <f>F42*K42</f>
        <v>0.034919099999999995</v>
      </c>
      <c r="M42" s="57" t="s">
        <v>231</v>
      </c>
      <c r="N42" s="57" t="s">
        <v>232</v>
      </c>
      <c r="O42" s="34">
        <f>IF(N42="5",I42,0)</f>
        <v>0</v>
      </c>
      <c r="Z42" s="34">
        <f>IF(AD42=0,J42,0)</f>
        <v>0</v>
      </c>
      <c r="AA42" s="34">
        <f>IF(AD42=15,J42,0)</f>
        <v>0</v>
      </c>
      <c r="AB42" s="34">
        <f>IF(AD42=21,J42,0)</f>
        <v>0</v>
      </c>
      <c r="AD42" s="61">
        <v>15</v>
      </c>
      <c r="AE42" s="61">
        <f>G42*1</f>
        <v>0</v>
      </c>
      <c r="AF42" s="61">
        <f>G42*(1-1)</f>
        <v>0</v>
      </c>
    </row>
    <row r="43" spans="1:32" ht="12.75">
      <c r="A43" s="10" t="s">
        <v>30</v>
      </c>
      <c r="B43" s="10"/>
      <c r="C43" s="10" t="s">
        <v>93</v>
      </c>
      <c r="D43" s="10" t="s">
        <v>165</v>
      </c>
      <c r="E43" s="10" t="s">
        <v>211</v>
      </c>
      <c r="F43" s="33">
        <v>100</v>
      </c>
      <c r="H43" s="33">
        <f>ROUND(F43*AE43,2)</f>
        <v>0</v>
      </c>
      <c r="I43" s="33">
        <f>J43-H43</f>
        <v>0</v>
      </c>
      <c r="J43" s="33">
        <f>ROUND(F43*G43,2)</f>
        <v>0</v>
      </c>
      <c r="K43" s="33">
        <v>0.001</v>
      </c>
      <c r="L43" s="33">
        <f>F43*K43</f>
        <v>0.1</v>
      </c>
      <c r="M43" s="56" t="s">
        <v>231</v>
      </c>
      <c r="N43" s="56" t="s">
        <v>7</v>
      </c>
      <c r="O43" s="33">
        <f>IF(N43="5",I43,0)</f>
        <v>0</v>
      </c>
      <c r="Z43" s="33">
        <f>IF(AD43=0,J43,0)</f>
        <v>0</v>
      </c>
      <c r="AA43" s="33">
        <f>IF(AD43=15,J43,0)</f>
        <v>0</v>
      </c>
      <c r="AB43" s="33">
        <f>IF(AD43=21,J43,0)</f>
        <v>0</v>
      </c>
      <c r="AD43" s="61">
        <v>15</v>
      </c>
      <c r="AE43" s="61">
        <f>G43*0.15141065830721</f>
        <v>0</v>
      </c>
      <c r="AF43" s="61">
        <f>G43*(1-0.15141065830721)</f>
        <v>0</v>
      </c>
    </row>
    <row r="44" spans="1:32" ht="12.75">
      <c r="A44" s="10" t="s">
        <v>31</v>
      </c>
      <c r="B44" s="10"/>
      <c r="C44" s="10" t="s">
        <v>94</v>
      </c>
      <c r="D44" s="10" t="s">
        <v>166</v>
      </c>
      <c r="E44" s="10" t="s">
        <v>211</v>
      </c>
      <c r="F44" s="33">
        <v>100</v>
      </c>
      <c r="H44" s="33">
        <f>ROUND(F44*AE44,2)</f>
        <v>0</v>
      </c>
      <c r="I44" s="33">
        <f>J44-H44</f>
        <v>0</v>
      </c>
      <c r="J44" s="33">
        <f>ROUND(F44*G44,2)</f>
        <v>0</v>
      </c>
      <c r="K44" s="33">
        <v>5E-05</v>
      </c>
      <c r="L44" s="33">
        <f>F44*K44</f>
        <v>0.005</v>
      </c>
      <c r="M44" s="56" t="s">
        <v>231</v>
      </c>
      <c r="N44" s="56" t="s">
        <v>7</v>
      </c>
      <c r="O44" s="33">
        <f>IF(N44="5",I44,0)</f>
        <v>0</v>
      </c>
      <c r="Z44" s="33">
        <f>IF(AD44=0,J44,0)</f>
        <v>0</v>
      </c>
      <c r="AA44" s="33">
        <f>IF(AD44=15,J44,0)</f>
        <v>0</v>
      </c>
      <c r="AB44" s="33">
        <f>IF(AD44=21,J44,0)</f>
        <v>0</v>
      </c>
      <c r="AD44" s="61">
        <v>15</v>
      </c>
      <c r="AE44" s="61">
        <f>G44*0.177358490566038</f>
        <v>0</v>
      </c>
      <c r="AF44" s="61">
        <f>G44*(1-0.177358490566038)</f>
        <v>0</v>
      </c>
    </row>
    <row r="45" spans="1:32" ht="12.75">
      <c r="A45" s="10" t="s">
        <v>32</v>
      </c>
      <c r="B45" s="10"/>
      <c r="C45" s="10" t="s">
        <v>94</v>
      </c>
      <c r="D45" s="10" t="s">
        <v>167</v>
      </c>
      <c r="E45" s="10" t="s">
        <v>211</v>
      </c>
      <c r="F45" s="33">
        <v>20</v>
      </c>
      <c r="H45" s="33">
        <f>ROUND(F45*AE45,2)</f>
        <v>0</v>
      </c>
      <c r="I45" s="33">
        <f>J45-H45</f>
        <v>0</v>
      </c>
      <c r="J45" s="33">
        <f>ROUND(F45*G45,2)</f>
        <v>0</v>
      </c>
      <c r="K45" s="33">
        <v>5E-05</v>
      </c>
      <c r="L45" s="33">
        <f>F45*K45</f>
        <v>0.001</v>
      </c>
      <c r="M45" s="56" t="s">
        <v>231</v>
      </c>
      <c r="N45" s="56" t="s">
        <v>7</v>
      </c>
      <c r="O45" s="33">
        <f>IF(N45="5",I45,0)</f>
        <v>0</v>
      </c>
      <c r="Z45" s="33">
        <f>IF(AD45=0,J45,0)</f>
        <v>0</v>
      </c>
      <c r="AA45" s="33">
        <f>IF(AD45=15,J45,0)</f>
        <v>0</v>
      </c>
      <c r="AB45" s="33">
        <f>IF(AD45=21,J45,0)</f>
        <v>0</v>
      </c>
      <c r="AD45" s="61">
        <v>15</v>
      </c>
      <c r="AE45" s="61">
        <f>G45*0.177358490566038</f>
        <v>0</v>
      </c>
      <c r="AF45" s="61">
        <f>G45*(1-0.177358490566038)</f>
        <v>0</v>
      </c>
    </row>
    <row r="46" spans="1:37" ht="12.75">
      <c r="A46" s="11"/>
      <c r="B46" s="24"/>
      <c r="C46" s="24" t="s">
        <v>248</v>
      </c>
      <c r="D46" s="24" t="s">
        <v>256</v>
      </c>
      <c r="E46" s="31"/>
      <c r="F46" s="31"/>
      <c r="G46" s="31"/>
      <c r="H46" s="63">
        <f>SUM(H47:H49)</f>
        <v>0</v>
      </c>
      <c r="I46" s="63">
        <f>SUM(I47:I49)</f>
        <v>0</v>
      </c>
      <c r="J46" s="63">
        <f>H46+I46</f>
        <v>0</v>
      </c>
      <c r="K46" s="50"/>
      <c r="L46" s="63">
        <f>SUM(L47:L49)</f>
        <v>0.002362</v>
      </c>
      <c r="M46" s="50"/>
      <c r="P46" s="63">
        <f>IF(Q46="PR",J46,SUM(O47:O49))</f>
        <v>0</v>
      </c>
      <c r="Q46" s="50" t="s">
        <v>235</v>
      </c>
      <c r="R46" s="63">
        <f>IF(Q46="HS",H46,0)</f>
        <v>0</v>
      </c>
      <c r="S46" s="63">
        <f>IF(Q46="HS",I46-P46,0)</f>
        <v>0</v>
      </c>
      <c r="T46" s="63">
        <f>IF(Q46="PS",H46,0)</f>
        <v>0</v>
      </c>
      <c r="U46" s="63">
        <f>IF(Q46="PS",I46-P46,0)</f>
        <v>0</v>
      </c>
      <c r="V46" s="63">
        <f>IF(Q46="MP",H46,0)</f>
        <v>0</v>
      </c>
      <c r="W46" s="63">
        <f>IF(Q46="MP",I46-P46,0)</f>
        <v>0</v>
      </c>
      <c r="X46" s="63">
        <f>IF(Q46="OM",H46,0)</f>
        <v>0</v>
      </c>
      <c r="Y46" s="50"/>
      <c r="AI46" s="63">
        <f>SUM(Z47:Z49)</f>
        <v>0</v>
      </c>
      <c r="AJ46" s="63">
        <f>SUM(AA47:AA49)</f>
        <v>0</v>
      </c>
      <c r="AK46" s="63">
        <f>SUM(AB47:AB49)</f>
        <v>0</v>
      </c>
    </row>
    <row r="47" spans="1:32" ht="12.75">
      <c r="A47" s="10" t="s">
        <v>33</v>
      </c>
      <c r="B47" s="10"/>
      <c r="C47" s="10" t="s">
        <v>96</v>
      </c>
      <c r="D47" s="10" t="s">
        <v>169</v>
      </c>
      <c r="E47" s="10" t="s">
        <v>206</v>
      </c>
      <c r="F47" s="33">
        <v>2.7</v>
      </c>
      <c r="H47" s="33">
        <f>ROUND(F47*AE47,2)</f>
        <v>0</v>
      </c>
      <c r="I47" s="33">
        <f>J47-H47</f>
        <v>0</v>
      </c>
      <c r="J47" s="33">
        <f>ROUND(F47*G47,2)</f>
        <v>0</v>
      </c>
      <c r="K47" s="33">
        <v>1E-05</v>
      </c>
      <c r="L47" s="33">
        <f>F47*K47</f>
        <v>2.7000000000000002E-05</v>
      </c>
      <c r="M47" s="56" t="s">
        <v>231</v>
      </c>
      <c r="N47" s="56" t="s">
        <v>7</v>
      </c>
      <c r="O47" s="33">
        <f>IF(N47="5",I47,0)</f>
        <v>0</v>
      </c>
      <c r="Z47" s="33">
        <f>IF(AD47=0,J47,0)</f>
        <v>0</v>
      </c>
      <c r="AA47" s="33">
        <f>IF(AD47=15,J47,0)</f>
        <v>0</v>
      </c>
      <c r="AB47" s="33">
        <f>IF(AD47=21,J47,0)</f>
        <v>0</v>
      </c>
      <c r="AD47" s="61">
        <v>15</v>
      </c>
      <c r="AE47" s="61">
        <f>G47*0.149279050042409</f>
        <v>0</v>
      </c>
      <c r="AF47" s="61">
        <f>G47*(1-0.149279050042409)</f>
        <v>0</v>
      </c>
    </row>
    <row r="48" spans="1:32" ht="12.75">
      <c r="A48" s="10" t="s">
        <v>34</v>
      </c>
      <c r="B48" s="10"/>
      <c r="C48" s="10" t="s">
        <v>97</v>
      </c>
      <c r="D48" s="10" t="s">
        <v>170</v>
      </c>
      <c r="E48" s="10" t="s">
        <v>206</v>
      </c>
      <c r="F48" s="33">
        <v>2.7</v>
      </c>
      <c r="H48" s="33">
        <f>ROUND(F48*AE48,2)</f>
        <v>0</v>
      </c>
      <c r="I48" s="33">
        <f>J48-H48</f>
        <v>0</v>
      </c>
      <c r="J48" s="33">
        <f>ROUND(F48*G48,2)</f>
        <v>0</v>
      </c>
      <c r="K48" s="33">
        <v>0.00025</v>
      </c>
      <c r="L48" s="33">
        <f>F48*K48</f>
        <v>0.000675</v>
      </c>
      <c r="M48" s="56" t="s">
        <v>231</v>
      </c>
      <c r="N48" s="56" t="s">
        <v>7</v>
      </c>
      <c r="O48" s="33">
        <f>IF(N48="5",I48,0)</f>
        <v>0</v>
      </c>
      <c r="Z48" s="33">
        <f>IF(AD48=0,J48,0)</f>
        <v>0</v>
      </c>
      <c r="AA48" s="33">
        <f>IF(AD48=15,J48,0)</f>
        <v>0</v>
      </c>
      <c r="AB48" s="33">
        <f>IF(AD48=21,J48,0)</f>
        <v>0</v>
      </c>
      <c r="AD48" s="61">
        <v>15</v>
      </c>
      <c r="AE48" s="61">
        <f>G48*0.388064516129032</f>
        <v>0</v>
      </c>
      <c r="AF48" s="61">
        <f>G48*(1-0.388064516129032)</f>
        <v>0</v>
      </c>
    </row>
    <row r="49" spans="1:32" ht="12.75">
      <c r="A49" s="10" t="s">
        <v>35</v>
      </c>
      <c r="B49" s="10"/>
      <c r="C49" s="10" t="s">
        <v>99</v>
      </c>
      <c r="D49" s="10" t="s">
        <v>172</v>
      </c>
      <c r="E49" s="10" t="s">
        <v>206</v>
      </c>
      <c r="F49" s="33">
        <v>6.64</v>
      </c>
      <c r="H49" s="33">
        <f>ROUND(F49*AE49,2)</f>
        <v>0</v>
      </c>
      <c r="I49" s="33">
        <f>J49-H49</f>
        <v>0</v>
      </c>
      <c r="J49" s="33">
        <f>ROUND(F49*G49,2)</f>
        <v>0</v>
      </c>
      <c r="K49" s="33">
        <v>0.00025</v>
      </c>
      <c r="L49" s="33">
        <f>F49*K49</f>
        <v>0.00166</v>
      </c>
      <c r="M49" s="56" t="s">
        <v>231</v>
      </c>
      <c r="N49" s="56" t="s">
        <v>7</v>
      </c>
      <c r="O49" s="33">
        <f>IF(N49="5",I49,0)</f>
        <v>0</v>
      </c>
      <c r="Z49" s="33">
        <f>IF(AD49=0,J49,0)</f>
        <v>0</v>
      </c>
      <c r="AA49" s="33">
        <f>IF(AD49=15,J49,0)</f>
        <v>0</v>
      </c>
      <c r="AB49" s="33">
        <f>IF(AD49=21,J49,0)</f>
        <v>0</v>
      </c>
      <c r="AD49" s="61">
        <v>15</v>
      </c>
      <c r="AE49" s="61">
        <f>G49*0.238753455642121</f>
        <v>0</v>
      </c>
      <c r="AF49" s="61">
        <f>G49*(1-0.238753455642121)</f>
        <v>0</v>
      </c>
    </row>
    <row r="50" spans="1:37" ht="12.75">
      <c r="A50" s="11"/>
      <c r="B50" s="24"/>
      <c r="C50" s="24" t="s">
        <v>15</v>
      </c>
      <c r="D50" s="24" t="s">
        <v>257</v>
      </c>
      <c r="E50" s="31"/>
      <c r="F50" s="31"/>
      <c r="G50" s="31"/>
      <c r="H50" s="63">
        <f>SUM(H51:H62)</f>
        <v>0</v>
      </c>
      <c r="I50" s="63">
        <f>SUM(I51:I62)</f>
        <v>0</v>
      </c>
      <c r="J50" s="63">
        <f>H50+I50</f>
        <v>0</v>
      </c>
      <c r="K50" s="50"/>
      <c r="L50" s="63">
        <f>SUM(L51:L62)</f>
        <v>9.8120001</v>
      </c>
      <c r="M50" s="50"/>
      <c r="P50" s="63">
        <f>IF(Q50="PR",J50,SUM(O51:O62))</f>
        <v>0</v>
      </c>
      <c r="Q50" s="50" t="s">
        <v>235</v>
      </c>
      <c r="R50" s="63">
        <f>IF(Q50="HS",H50,0)</f>
        <v>0</v>
      </c>
      <c r="S50" s="63">
        <f>IF(Q50="HS",I50-P50,0)</f>
        <v>0</v>
      </c>
      <c r="T50" s="63">
        <f>IF(Q50="PS",H50,0)</f>
        <v>0</v>
      </c>
      <c r="U50" s="63">
        <f>IF(Q50="PS",I50-P50,0)</f>
        <v>0</v>
      </c>
      <c r="V50" s="63">
        <f>IF(Q50="MP",H50,0)</f>
        <v>0</v>
      </c>
      <c r="W50" s="63">
        <f>IF(Q50="MP",I50-P50,0)</f>
        <v>0</v>
      </c>
      <c r="X50" s="63">
        <f>IF(Q50="OM",H50,0)</f>
        <v>0</v>
      </c>
      <c r="Y50" s="50"/>
      <c r="AI50" s="63">
        <f>SUM(Z51:Z62)</f>
        <v>0</v>
      </c>
      <c r="AJ50" s="63">
        <f>SUM(AA51:AA62)</f>
        <v>0</v>
      </c>
      <c r="AK50" s="63">
        <f>SUM(AB51:AB62)</f>
        <v>0</v>
      </c>
    </row>
    <row r="51" spans="1:32" ht="12.75">
      <c r="A51" s="10" t="s">
        <v>36</v>
      </c>
      <c r="B51" s="10"/>
      <c r="C51" s="10" t="s">
        <v>103</v>
      </c>
      <c r="D51" s="10" t="s">
        <v>176</v>
      </c>
      <c r="E51" s="10" t="s">
        <v>206</v>
      </c>
      <c r="F51" s="33">
        <v>23.85</v>
      </c>
      <c r="H51" s="33">
        <f>ROUND(F51*AE51,2)</f>
        <v>0</v>
      </c>
      <c r="I51" s="33">
        <f>J51-H51</f>
        <v>0</v>
      </c>
      <c r="J51" s="33">
        <f>ROUND(F51*G51,2)</f>
        <v>0</v>
      </c>
      <c r="K51" s="33">
        <v>0.034</v>
      </c>
      <c r="L51" s="33">
        <f>F51*K51</f>
        <v>0.8109000000000001</v>
      </c>
      <c r="M51" s="56" t="s">
        <v>231</v>
      </c>
      <c r="N51" s="56" t="s">
        <v>7</v>
      </c>
      <c r="O51" s="33">
        <f>IF(N51="5",I51,0)</f>
        <v>0</v>
      </c>
      <c r="Z51" s="33">
        <f>IF(AD51=0,J51,0)</f>
        <v>0</v>
      </c>
      <c r="AA51" s="33">
        <f>IF(AD51=15,J51,0)</f>
        <v>0</v>
      </c>
      <c r="AB51" s="33">
        <f>IF(AD51=21,J51,0)</f>
        <v>0</v>
      </c>
      <c r="AD51" s="61">
        <v>15</v>
      </c>
      <c r="AE51" s="61">
        <f>G51*0.175845043676415</f>
        <v>0</v>
      </c>
      <c r="AF51" s="61">
        <f>G51*(1-0.175845043676415)</f>
        <v>0</v>
      </c>
    </row>
    <row r="52" spans="1:32" ht="12.75">
      <c r="A52" s="10" t="s">
        <v>37</v>
      </c>
      <c r="B52" s="10"/>
      <c r="C52" s="10" t="s">
        <v>104</v>
      </c>
      <c r="D52" s="10" t="s">
        <v>177</v>
      </c>
      <c r="E52" s="10" t="s">
        <v>210</v>
      </c>
      <c r="F52" s="33">
        <v>4</v>
      </c>
      <c r="H52" s="33">
        <f>ROUND(F52*AE52,2)</f>
        <v>0</v>
      </c>
      <c r="I52" s="33">
        <f>J52-H52</f>
        <v>0</v>
      </c>
      <c r="J52" s="33">
        <f>ROUND(F52*G52,2)</f>
        <v>0</v>
      </c>
      <c r="K52" s="33">
        <v>0.005</v>
      </c>
      <c r="L52" s="33">
        <f>F52*K52</f>
        <v>0.02</v>
      </c>
      <c r="M52" s="56" t="s">
        <v>231</v>
      </c>
      <c r="N52" s="56" t="s">
        <v>7</v>
      </c>
      <c r="O52" s="33">
        <f>IF(N52="5",I52,0)</f>
        <v>0</v>
      </c>
      <c r="Z52" s="33">
        <f>IF(AD52=0,J52,0)</f>
        <v>0</v>
      </c>
      <c r="AA52" s="33">
        <f>IF(AD52=15,J52,0)</f>
        <v>0</v>
      </c>
      <c r="AB52" s="33">
        <f>IF(AD52=21,J52,0)</f>
        <v>0</v>
      </c>
      <c r="AD52" s="61">
        <v>15</v>
      </c>
      <c r="AE52" s="61">
        <f>G52*0</f>
        <v>0</v>
      </c>
      <c r="AF52" s="61">
        <f>G52*(1-0)</f>
        <v>0</v>
      </c>
    </row>
    <row r="53" spans="1:32" ht="12.75">
      <c r="A53" s="10" t="s">
        <v>38</v>
      </c>
      <c r="B53" s="10"/>
      <c r="C53" s="10" t="s">
        <v>105</v>
      </c>
      <c r="D53" s="10" t="s">
        <v>178</v>
      </c>
      <c r="E53" s="10" t="s">
        <v>206</v>
      </c>
      <c r="F53" s="33">
        <v>3.7</v>
      </c>
      <c r="H53" s="33">
        <f>ROUND(F53*AE53,2)</f>
        <v>0</v>
      </c>
      <c r="I53" s="33">
        <f>J53-H53</f>
        <v>0</v>
      </c>
      <c r="J53" s="33">
        <f>ROUND(F53*G53,2)</f>
        <v>0</v>
      </c>
      <c r="K53" s="33">
        <v>0.041</v>
      </c>
      <c r="L53" s="33">
        <f>F53*K53</f>
        <v>0.1517</v>
      </c>
      <c r="M53" s="56" t="s">
        <v>231</v>
      </c>
      <c r="N53" s="56" t="s">
        <v>7</v>
      </c>
      <c r="O53" s="33">
        <f>IF(N53="5",I53,0)</f>
        <v>0</v>
      </c>
      <c r="Z53" s="33">
        <f>IF(AD53=0,J53,0)</f>
        <v>0</v>
      </c>
      <c r="AA53" s="33">
        <f>IF(AD53=15,J53,0)</f>
        <v>0</v>
      </c>
      <c r="AB53" s="33">
        <f>IF(AD53=21,J53,0)</f>
        <v>0</v>
      </c>
      <c r="AD53" s="61">
        <v>15</v>
      </c>
      <c r="AE53" s="61">
        <f>G53*0.279678633631103</f>
        <v>0</v>
      </c>
      <c r="AF53" s="61">
        <f>G53*(1-0.279678633631103)</f>
        <v>0</v>
      </c>
    </row>
    <row r="54" spans="1:32" ht="12.75">
      <c r="A54" s="10" t="s">
        <v>39</v>
      </c>
      <c r="B54" s="10"/>
      <c r="C54" s="10" t="s">
        <v>106</v>
      </c>
      <c r="D54" s="10" t="s">
        <v>179</v>
      </c>
      <c r="E54" s="10" t="s">
        <v>210</v>
      </c>
      <c r="F54" s="33">
        <v>3</v>
      </c>
      <c r="H54" s="33">
        <f>ROUND(F54*AE54,2)</f>
        <v>0</v>
      </c>
      <c r="I54" s="33">
        <f>J54-H54</f>
        <v>0</v>
      </c>
      <c r="J54" s="33">
        <f>ROUND(F54*G54,2)</f>
        <v>0</v>
      </c>
      <c r="K54" s="33">
        <v>0.005</v>
      </c>
      <c r="L54" s="33">
        <f>F54*K54</f>
        <v>0.015</v>
      </c>
      <c r="M54" s="56" t="s">
        <v>231</v>
      </c>
      <c r="N54" s="56" t="s">
        <v>7</v>
      </c>
      <c r="O54" s="33">
        <f>IF(N54="5",I54,0)</f>
        <v>0</v>
      </c>
      <c r="Z54" s="33">
        <f>IF(AD54=0,J54,0)</f>
        <v>0</v>
      </c>
      <c r="AA54" s="33">
        <f>IF(AD54=15,J54,0)</f>
        <v>0</v>
      </c>
      <c r="AB54" s="33">
        <f>IF(AD54=21,J54,0)</f>
        <v>0</v>
      </c>
      <c r="AD54" s="61">
        <v>15</v>
      </c>
      <c r="AE54" s="61">
        <f>G54*0</f>
        <v>0</v>
      </c>
      <c r="AF54" s="61">
        <f>G54*(1-0)</f>
        <v>0</v>
      </c>
    </row>
    <row r="55" spans="1:32" ht="12.75">
      <c r="A55" s="10" t="s">
        <v>40</v>
      </c>
      <c r="B55" s="10"/>
      <c r="C55" s="10" t="s">
        <v>107</v>
      </c>
      <c r="D55" s="10" t="s">
        <v>180</v>
      </c>
      <c r="E55" s="10" t="s">
        <v>206</v>
      </c>
      <c r="F55" s="33">
        <v>4.5</v>
      </c>
      <c r="H55" s="33">
        <f>ROUND(F55*AE55,2)</f>
        <v>0</v>
      </c>
      <c r="I55" s="33">
        <f>J55-H55</f>
        <v>0</v>
      </c>
      <c r="J55" s="33">
        <f>ROUND(F55*G55,2)</f>
        <v>0</v>
      </c>
      <c r="K55" s="33">
        <v>0.063</v>
      </c>
      <c r="L55" s="33">
        <f>F55*K55</f>
        <v>0.2835</v>
      </c>
      <c r="M55" s="56" t="s">
        <v>231</v>
      </c>
      <c r="N55" s="56" t="s">
        <v>7</v>
      </c>
      <c r="O55" s="33">
        <f>IF(N55="5",I55,0)</f>
        <v>0</v>
      </c>
      <c r="Z55" s="33">
        <f>IF(AD55=0,J55,0)</f>
        <v>0</v>
      </c>
      <c r="AA55" s="33">
        <f>IF(AD55=15,J55,0)</f>
        <v>0</v>
      </c>
      <c r="AB55" s="33">
        <f>IF(AD55=21,J55,0)</f>
        <v>0</v>
      </c>
      <c r="AD55" s="61">
        <v>15</v>
      </c>
      <c r="AE55" s="61">
        <f>G55*0.117061855670103</f>
        <v>0</v>
      </c>
      <c r="AF55" s="61">
        <f>G55*(1-0.117061855670103)</f>
        <v>0</v>
      </c>
    </row>
    <row r="56" spans="1:32" ht="12.75">
      <c r="A56" s="10" t="s">
        <v>41</v>
      </c>
      <c r="B56" s="10"/>
      <c r="C56" s="10" t="s">
        <v>108</v>
      </c>
      <c r="D56" s="10" t="s">
        <v>181</v>
      </c>
      <c r="E56" s="10" t="s">
        <v>207</v>
      </c>
      <c r="F56" s="33">
        <v>5.2</v>
      </c>
      <c r="H56" s="33">
        <f>ROUND(F56*AE56,2)</f>
        <v>0</v>
      </c>
      <c r="I56" s="33">
        <f>J56-H56</f>
        <v>0</v>
      </c>
      <c r="J56" s="33">
        <f>ROUND(F56*G56,2)</f>
        <v>0</v>
      </c>
      <c r="K56" s="33">
        <v>0.0005</v>
      </c>
      <c r="L56" s="33">
        <f>F56*K56</f>
        <v>0.0026000000000000003</v>
      </c>
      <c r="M56" s="56" t="s">
        <v>231</v>
      </c>
      <c r="N56" s="56" t="s">
        <v>7</v>
      </c>
      <c r="O56" s="33">
        <f>IF(N56="5",I56,0)</f>
        <v>0</v>
      </c>
      <c r="Z56" s="33">
        <f>IF(AD56=0,J56,0)</f>
        <v>0</v>
      </c>
      <c r="AA56" s="33">
        <f>IF(AD56=15,J56,0)</f>
        <v>0</v>
      </c>
      <c r="AB56" s="33">
        <f>IF(AD56=21,J56,0)</f>
        <v>0</v>
      </c>
      <c r="AD56" s="61">
        <v>15</v>
      </c>
      <c r="AE56" s="61">
        <f>G56*0</f>
        <v>0</v>
      </c>
      <c r="AF56" s="61">
        <f>G56*(1-0)</f>
        <v>0</v>
      </c>
    </row>
    <row r="57" spans="1:32" ht="12.75">
      <c r="A57" s="10" t="s">
        <v>42</v>
      </c>
      <c r="B57" s="10"/>
      <c r="C57" s="10" t="s">
        <v>110</v>
      </c>
      <c r="D57" s="10" t="s">
        <v>183</v>
      </c>
      <c r="E57" s="10" t="s">
        <v>208</v>
      </c>
      <c r="F57" s="33">
        <v>1.25</v>
      </c>
      <c r="H57" s="33">
        <f>ROUND(F57*AE57,2)</f>
        <v>0</v>
      </c>
      <c r="I57" s="33">
        <f>J57-H57</f>
        <v>0</v>
      </c>
      <c r="J57" s="33">
        <f>ROUND(F57*G57,2)</f>
        <v>0</v>
      </c>
      <c r="K57" s="33">
        <v>1.95</v>
      </c>
      <c r="L57" s="33">
        <f>F57*K57</f>
        <v>2.4375</v>
      </c>
      <c r="M57" s="56" t="s">
        <v>231</v>
      </c>
      <c r="N57" s="56" t="s">
        <v>7</v>
      </c>
      <c r="O57" s="33">
        <f>IF(N57="5",I57,0)</f>
        <v>0</v>
      </c>
      <c r="Z57" s="33">
        <f>IF(AD57=0,J57,0)</f>
        <v>0</v>
      </c>
      <c r="AA57" s="33">
        <f>IF(AD57=15,J57,0)</f>
        <v>0</v>
      </c>
      <c r="AB57" s="33">
        <f>IF(AD57=21,J57,0)</f>
        <v>0</v>
      </c>
      <c r="AD57" s="61">
        <v>15</v>
      </c>
      <c r="AE57" s="61">
        <f>G57*0.0226065573770492</f>
        <v>0</v>
      </c>
      <c r="AF57" s="61">
        <f>G57*(1-0.0226065573770492)</f>
        <v>0</v>
      </c>
    </row>
    <row r="58" spans="1:32" ht="12.75">
      <c r="A58" s="10" t="s">
        <v>43</v>
      </c>
      <c r="B58" s="10"/>
      <c r="C58" s="10" t="s">
        <v>101</v>
      </c>
      <c r="D58" s="10" t="s">
        <v>174</v>
      </c>
      <c r="E58" s="10" t="s">
        <v>207</v>
      </c>
      <c r="F58" s="33">
        <v>64.31</v>
      </c>
      <c r="H58" s="33">
        <f>ROUND(F58*AE58,2)</f>
        <v>0</v>
      </c>
      <c r="I58" s="33">
        <f>J58-H58</f>
        <v>0</v>
      </c>
      <c r="J58" s="33">
        <f>ROUND(F58*G58,2)</f>
        <v>0</v>
      </c>
      <c r="K58" s="33">
        <v>0.09471</v>
      </c>
      <c r="L58" s="33">
        <f>F58*K58</f>
        <v>6.0908001</v>
      </c>
      <c r="M58" s="56" t="s">
        <v>231</v>
      </c>
      <c r="N58" s="56" t="s">
        <v>7</v>
      </c>
      <c r="O58" s="33">
        <f>IF(N58="5",I58,0)</f>
        <v>0</v>
      </c>
      <c r="Z58" s="33">
        <f>IF(AD58=0,J58,0)</f>
        <v>0</v>
      </c>
      <c r="AA58" s="33">
        <f>IF(AD58=15,J58,0)</f>
        <v>0</v>
      </c>
      <c r="AB58" s="33">
        <f>IF(AD58=21,J58,0)</f>
        <v>0</v>
      </c>
      <c r="AD58" s="61">
        <v>15</v>
      </c>
      <c r="AE58" s="61">
        <f>G58*0.707649769585253</f>
        <v>0</v>
      </c>
      <c r="AF58" s="61">
        <f>G58*(1-0.707649769585253)</f>
        <v>0</v>
      </c>
    </row>
    <row r="59" spans="1:32" ht="12.75">
      <c r="A59" s="10" t="s">
        <v>44</v>
      </c>
      <c r="B59" s="10"/>
      <c r="C59" s="10" t="s">
        <v>112</v>
      </c>
      <c r="D59" s="10" t="s">
        <v>185</v>
      </c>
      <c r="E59" s="10" t="s">
        <v>212</v>
      </c>
      <c r="F59" s="33">
        <v>19.38</v>
      </c>
      <c r="H59" s="33">
        <f>ROUND(F59*AE59,2)</f>
        <v>0</v>
      </c>
      <c r="I59" s="33">
        <f>J59-H59</f>
        <v>0</v>
      </c>
      <c r="J59" s="33">
        <f>ROUND(F59*G59,2)</f>
        <v>0</v>
      </c>
      <c r="K59" s="33">
        <v>0</v>
      </c>
      <c r="L59" s="33">
        <f>F59*K59</f>
        <v>0</v>
      </c>
      <c r="M59" s="56" t="s">
        <v>231</v>
      </c>
      <c r="N59" s="56" t="s">
        <v>11</v>
      </c>
      <c r="O59" s="33">
        <f>IF(N59="5",I59,0)</f>
        <v>0</v>
      </c>
      <c r="Z59" s="33">
        <f>IF(AD59=0,J59,0)</f>
        <v>0</v>
      </c>
      <c r="AA59" s="33">
        <f>IF(AD59=15,J59,0)</f>
        <v>0</v>
      </c>
      <c r="AB59" s="33">
        <f>IF(AD59=21,J59,0)</f>
        <v>0</v>
      </c>
      <c r="AD59" s="61">
        <v>15</v>
      </c>
      <c r="AE59" s="61">
        <f>G59*0</f>
        <v>0</v>
      </c>
      <c r="AF59" s="61">
        <f>G59*(1-0)</f>
        <v>0</v>
      </c>
    </row>
    <row r="60" spans="1:32" ht="12.75">
      <c r="A60" s="10" t="s">
        <v>45</v>
      </c>
      <c r="B60" s="10"/>
      <c r="C60" s="10" t="s">
        <v>113</v>
      </c>
      <c r="D60" s="10" t="s">
        <v>186</v>
      </c>
      <c r="E60" s="10" t="s">
        <v>212</v>
      </c>
      <c r="F60" s="33">
        <v>19.38</v>
      </c>
      <c r="H60" s="33">
        <f>ROUND(F60*AE60,2)</f>
        <v>0</v>
      </c>
      <c r="I60" s="33">
        <f>J60-H60</f>
        <v>0</v>
      </c>
      <c r="J60" s="33">
        <f>ROUND(F60*G60,2)</f>
        <v>0</v>
      </c>
      <c r="K60" s="33">
        <v>0</v>
      </c>
      <c r="L60" s="33">
        <f>F60*K60</f>
        <v>0</v>
      </c>
      <c r="M60" s="56" t="s">
        <v>231</v>
      </c>
      <c r="N60" s="56" t="s">
        <v>11</v>
      </c>
      <c r="O60" s="33">
        <f>IF(N60="5",I60,0)</f>
        <v>0</v>
      </c>
      <c r="Z60" s="33">
        <f>IF(AD60=0,J60,0)</f>
        <v>0</v>
      </c>
      <c r="AA60" s="33">
        <f>IF(AD60=15,J60,0)</f>
        <v>0</v>
      </c>
      <c r="AB60" s="33">
        <f>IF(AD60=21,J60,0)</f>
        <v>0</v>
      </c>
      <c r="AD60" s="61">
        <v>15</v>
      </c>
      <c r="AE60" s="61">
        <f>G60*0</f>
        <v>0</v>
      </c>
      <c r="AF60" s="61">
        <f>G60*(1-0)</f>
        <v>0</v>
      </c>
    </row>
    <row r="61" spans="1:32" ht="12.75">
      <c r="A61" s="10" t="s">
        <v>46</v>
      </c>
      <c r="B61" s="10"/>
      <c r="C61" s="10" t="s">
        <v>114</v>
      </c>
      <c r="D61" s="10" t="s">
        <v>187</v>
      </c>
      <c r="E61" s="10" t="s">
        <v>212</v>
      </c>
      <c r="F61" s="33">
        <v>19.36</v>
      </c>
      <c r="H61" s="33">
        <f>ROUND(F61*AE61,2)</f>
        <v>0</v>
      </c>
      <c r="I61" s="33">
        <f>J61-H61</f>
        <v>0</v>
      </c>
      <c r="J61" s="33">
        <f>ROUND(F61*G61,2)</f>
        <v>0</v>
      </c>
      <c r="K61" s="33">
        <v>0</v>
      </c>
      <c r="L61" s="33">
        <f>F61*K61</f>
        <v>0</v>
      </c>
      <c r="M61" s="56" t="s">
        <v>231</v>
      </c>
      <c r="N61" s="56" t="s">
        <v>11</v>
      </c>
      <c r="O61" s="33">
        <f>IF(N61="5",I61,0)</f>
        <v>0</v>
      </c>
      <c r="Z61" s="33">
        <f>IF(AD61=0,J61,0)</f>
        <v>0</v>
      </c>
      <c r="AA61" s="33">
        <f>IF(AD61=15,J61,0)</f>
        <v>0</v>
      </c>
      <c r="AB61" s="33">
        <f>IF(AD61=21,J61,0)</f>
        <v>0</v>
      </c>
      <c r="AD61" s="61">
        <v>15</v>
      </c>
      <c r="AE61" s="61">
        <f>G61*0</f>
        <v>0</v>
      </c>
      <c r="AF61" s="61">
        <f>G61*(1-0)</f>
        <v>0</v>
      </c>
    </row>
    <row r="62" spans="1:32" ht="12.75">
      <c r="A62" s="10" t="s">
        <v>47</v>
      </c>
      <c r="B62" s="10"/>
      <c r="C62" s="10" t="s">
        <v>115</v>
      </c>
      <c r="D62" s="10" t="s">
        <v>188</v>
      </c>
      <c r="E62" s="10" t="s">
        <v>212</v>
      </c>
      <c r="F62" s="33">
        <v>19.38</v>
      </c>
      <c r="H62" s="33">
        <f>ROUND(F62*AE62,2)</f>
        <v>0</v>
      </c>
      <c r="I62" s="33">
        <f>J62-H62</f>
        <v>0</v>
      </c>
      <c r="J62" s="33">
        <f>ROUND(F62*G62,2)</f>
        <v>0</v>
      </c>
      <c r="K62" s="33">
        <v>0</v>
      </c>
      <c r="L62" s="33">
        <f>F62*K62</f>
        <v>0</v>
      </c>
      <c r="M62" s="56" t="s">
        <v>231</v>
      </c>
      <c r="N62" s="56" t="s">
        <v>11</v>
      </c>
      <c r="O62" s="33">
        <f>IF(N62="5",I62,0)</f>
        <v>0</v>
      </c>
      <c r="Z62" s="33">
        <f>IF(AD62=0,J62,0)</f>
        <v>0</v>
      </c>
      <c r="AA62" s="33">
        <f>IF(AD62=15,J62,0)</f>
        <v>0</v>
      </c>
      <c r="AB62" s="33">
        <f>IF(AD62=21,J62,0)</f>
        <v>0</v>
      </c>
      <c r="AD62" s="61">
        <v>15</v>
      </c>
      <c r="AE62" s="61">
        <f>G62*0</f>
        <v>0</v>
      </c>
      <c r="AF62" s="61">
        <f>G62*(1-0)</f>
        <v>0</v>
      </c>
    </row>
    <row r="63" spans="1:37" ht="12.75">
      <c r="A63" s="11"/>
      <c r="B63" s="24"/>
      <c r="C63" s="24"/>
      <c r="D63" s="24" t="s">
        <v>189</v>
      </c>
      <c r="E63" s="31"/>
      <c r="F63" s="31"/>
      <c r="G63" s="31"/>
      <c r="H63" s="63">
        <f>SUM(H64:H74)</f>
        <v>0</v>
      </c>
      <c r="I63" s="63">
        <f>SUM(I64:I74)</f>
        <v>0</v>
      </c>
      <c r="J63" s="63">
        <f>H63+I63</f>
        <v>0</v>
      </c>
      <c r="K63" s="50"/>
      <c r="L63" s="63">
        <f>SUM(L64:L74)</f>
        <v>8.266586</v>
      </c>
      <c r="M63" s="50"/>
      <c r="P63" s="63">
        <f>IF(Q63="PR",J63,SUM(O64:O74))</f>
        <v>0</v>
      </c>
      <c r="Q63" s="50" t="s">
        <v>238</v>
      </c>
      <c r="R63" s="63">
        <f>IF(Q63="HS",H63,0)</f>
        <v>0</v>
      </c>
      <c r="S63" s="63">
        <f>IF(Q63="HS",I63-P63,0)</f>
        <v>0</v>
      </c>
      <c r="T63" s="63">
        <f>IF(Q63="PS",H63,0)</f>
        <v>0</v>
      </c>
      <c r="U63" s="63">
        <f>IF(Q63="PS",I63-P63,0)</f>
        <v>0</v>
      </c>
      <c r="V63" s="63">
        <f>IF(Q63="MP",H63,0)</f>
        <v>0</v>
      </c>
      <c r="W63" s="63">
        <f>IF(Q63="MP",I63-P63,0)</f>
        <v>0</v>
      </c>
      <c r="X63" s="63">
        <f>IF(Q63="OM",H63,0)</f>
        <v>0</v>
      </c>
      <c r="Y63" s="50"/>
      <c r="AI63" s="63">
        <f>SUM(Z64:Z74)</f>
        <v>0</v>
      </c>
      <c r="AJ63" s="63">
        <f>SUM(AA64:AA74)</f>
        <v>0</v>
      </c>
      <c r="AK63" s="63">
        <f>SUM(AB64:AB74)</f>
        <v>0</v>
      </c>
    </row>
    <row r="64" spans="1:32" ht="12.75">
      <c r="A64" s="12" t="s">
        <v>48</v>
      </c>
      <c r="B64" s="12"/>
      <c r="C64" s="12" t="s">
        <v>116</v>
      </c>
      <c r="D64" s="12" t="s">
        <v>190</v>
      </c>
      <c r="E64" s="12" t="s">
        <v>210</v>
      </c>
      <c r="F64" s="34">
        <v>1</v>
      </c>
      <c r="H64" s="34">
        <f>ROUND(F64*AE64,2)</f>
        <v>0</v>
      </c>
      <c r="I64" s="34">
        <f>J64-H64</f>
        <v>0</v>
      </c>
      <c r="J64" s="34">
        <f>ROUND(F64*G64,2)</f>
        <v>0</v>
      </c>
      <c r="K64" s="34">
        <v>0.047</v>
      </c>
      <c r="L64" s="34">
        <f>F64*K64</f>
        <v>0.047</v>
      </c>
      <c r="M64" s="57"/>
      <c r="N64" s="57" t="s">
        <v>232</v>
      </c>
      <c r="O64" s="34">
        <f>IF(N64="5",I64,0)</f>
        <v>0</v>
      </c>
      <c r="Z64" s="34">
        <f>IF(AD64=0,J64,0)</f>
        <v>0</v>
      </c>
      <c r="AA64" s="34">
        <f>IF(AD64=15,J64,0)</f>
        <v>0</v>
      </c>
      <c r="AB64" s="34">
        <f>IF(AD64=21,J64,0)</f>
        <v>0</v>
      </c>
      <c r="AD64" s="61">
        <v>15</v>
      </c>
      <c r="AE64" s="61">
        <f>G64*1</f>
        <v>0</v>
      </c>
      <c r="AF64" s="61">
        <f>G64*(1-1)</f>
        <v>0</v>
      </c>
    </row>
    <row r="65" spans="1:32" ht="12.75">
      <c r="A65" s="12" t="s">
        <v>49</v>
      </c>
      <c r="B65" s="12"/>
      <c r="C65" s="12" t="s">
        <v>116</v>
      </c>
      <c r="D65" s="12" t="s">
        <v>191</v>
      </c>
      <c r="E65" s="12" t="s">
        <v>210</v>
      </c>
      <c r="F65" s="34">
        <v>1</v>
      </c>
      <c r="H65" s="34">
        <f>ROUND(F65*AE65,2)</f>
        <v>0</v>
      </c>
      <c r="I65" s="34">
        <f>J65-H65</f>
        <v>0</v>
      </c>
      <c r="J65" s="34">
        <f>ROUND(F65*G65,2)</f>
        <v>0</v>
      </c>
      <c r="K65" s="34">
        <v>0.047</v>
      </c>
      <c r="L65" s="34">
        <f>F65*K65</f>
        <v>0.047</v>
      </c>
      <c r="M65" s="57"/>
      <c r="N65" s="57" t="s">
        <v>232</v>
      </c>
      <c r="O65" s="34">
        <f>IF(N65="5",I65,0)</f>
        <v>0</v>
      </c>
      <c r="Z65" s="34">
        <f>IF(AD65=0,J65,0)</f>
        <v>0</v>
      </c>
      <c r="AA65" s="34">
        <f>IF(AD65=15,J65,0)</f>
        <v>0</v>
      </c>
      <c r="AB65" s="34">
        <f>IF(AD65=21,J65,0)</f>
        <v>0</v>
      </c>
      <c r="AD65" s="61">
        <v>15</v>
      </c>
      <c r="AE65" s="61">
        <f>G65*1</f>
        <v>0</v>
      </c>
      <c r="AF65" s="61">
        <f>G65*(1-1)</f>
        <v>0</v>
      </c>
    </row>
    <row r="66" spans="1:32" ht="12.75">
      <c r="A66" s="12" t="s">
        <v>50</v>
      </c>
      <c r="B66" s="12"/>
      <c r="C66" s="12" t="s">
        <v>116</v>
      </c>
      <c r="D66" s="12" t="s">
        <v>192</v>
      </c>
      <c r="E66" s="12" t="s">
        <v>210</v>
      </c>
      <c r="F66" s="34">
        <v>1</v>
      </c>
      <c r="H66" s="34">
        <f>ROUND(F66*AE66,2)</f>
        <v>0</v>
      </c>
      <c r="I66" s="34">
        <f>J66-H66</f>
        <v>0</v>
      </c>
      <c r="J66" s="34">
        <f>ROUND(F66*G66,2)</f>
        <v>0</v>
      </c>
      <c r="K66" s="34">
        <v>0.047</v>
      </c>
      <c r="L66" s="34">
        <f>F66*K66</f>
        <v>0.047</v>
      </c>
      <c r="M66" s="57"/>
      <c r="N66" s="57" t="s">
        <v>232</v>
      </c>
      <c r="O66" s="34">
        <f>IF(N66="5",I66,0)</f>
        <v>0</v>
      </c>
      <c r="Z66" s="34">
        <f>IF(AD66=0,J66,0)</f>
        <v>0</v>
      </c>
      <c r="AA66" s="34">
        <f>IF(AD66=15,J66,0)</f>
        <v>0</v>
      </c>
      <c r="AB66" s="34">
        <f>IF(AD66=21,J66,0)</f>
        <v>0</v>
      </c>
      <c r="AD66" s="61">
        <v>15</v>
      </c>
      <c r="AE66" s="61">
        <f>G66*1</f>
        <v>0</v>
      </c>
      <c r="AF66" s="61">
        <f>G66*(1-1)</f>
        <v>0</v>
      </c>
    </row>
    <row r="67" spans="1:32" ht="12.75">
      <c r="A67" s="12" t="s">
        <v>51</v>
      </c>
      <c r="B67" s="12"/>
      <c r="C67" s="12" t="s">
        <v>116</v>
      </c>
      <c r="D67" s="12" t="s">
        <v>193</v>
      </c>
      <c r="E67" s="12" t="s">
        <v>210</v>
      </c>
      <c r="F67" s="34">
        <v>1</v>
      </c>
      <c r="H67" s="34">
        <f>ROUND(F67*AE67,2)</f>
        <v>0</v>
      </c>
      <c r="I67" s="34">
        <f>J67-H67</f>
        <v>0</v>
      </c>
      <c r="J67" s="34">
        <f>ROUND(F67*G67,2)</f>
        <v>0</v>
      </c>
      <c r="K67" s="34">
        <v>0.047</v>
      </c>
      <c r="L67" s="34">
        <f>F67*K67</f>
        <v>0.047</v>
      </c>
      <c r="M67" s="57"/>
      <c r="N67" s="57" t="s">
        <v>232</v>
      </c>
      <c r="O67" s="34">
        <f>IF(N67="5",I67,0)</f>
        <v>0</v>
      </c>
      <c r="Z67" s="34">
        <f>IF(AD67=0,J67,0)</f>
        <v>0</v>
      </c>
      <c r="AA67" s="34">
        <f>IF(AD67=15,J67,0)</f>
        <v>0</v>
      </c>
      <c r="AB67" s="34">
        <f>IF(AD67=21,J67,0)</f>
        <v>0</v>
      </c>
      <c r="AD67" s="61">
        <v>15</v>
      </c>
      <c r="AE67" s="61">
        <f>G67*1</f>
        <v>0</v>
      </c>
      <c r="AF67" s="61">
        <f>G67*(1-1)</f>
        <v>0</v>
      </c>
    </row>
    <row r="68" spans="1:32" ht="12.75">
      <c r="A68" s="12" t="s">
        <v>52</v>
      </c>
      <c r="B68" s="12"/>
      <c r="C68" s="12" t="s">
        <v>117</v>
      </c>
      <c r="D68" s="12" t="s">
        <v>194</v>
      </c>
      <c r="E68" s="12" t="s">
        <v>210</v>
      </c>
      <c r="F68" s="34">
        <v>2</v>
      </c>
      <c r="H68" s="34">
        <f>ROUND(F68*AE68,2)</f>
        <v>0</v>
      </c>
      <c r="I68" s="34">
        <f>J68-H68</f>
        <v>0</v>
      </c>
      <c r="J68" s="34">
        <f>ROUND(F68*G68,2)</f>
        <v>0</v>
      </c>
      <c r="K68" s="34">
        <v>0.035</v>
      </c>
      <c r="L68" s="34">
        <f>F68*K68</f>
        <v>0.07</v>
      </c>
      <c r="M68" s="57"/>
      <c r="N68" s="57" t="s">
        <v>232</v>
      </c>
      <c r="O68" s="34">
        <f>IF(N68="5",I68,0)</f>
        <v>0</v>
      </c>
      <c r="Z68" s="34">
        <f>IF(AD68=0,J68,0)</f>
        <v>0</v>
      </c>
      <c r="AA68" s="34">
        <f>IF(AD68=15,J68,0)</f>
        <v>0</v>
      </c>
      <c r="AB68" s="34">
        <f>IF(AD68=21,J68,0)</f>
        <v>0</v>
      </c>
      <c r="AD68" s="61">
        <v>15</v>
      </c>
      <c r="AE68" s="61">
        <f>G68*1</f>
        <v>0</v>
      </c>
      <c r="AF68" s="61">
        <f>G68*(1-1)</f>
        <v>0</v>
      </c>
    </row>
    <row r="69" spans="1:32" ht="12.75">
      <c r="A69" s="12" t="s">
        <v>53</v>
      </c>
      <c r="B69" s="12"/>
      <c r="C69" s="12" t="s">
        <v>118</v>
      </c>
      <c r="D69" s="12" t="s">
        <v>195</v>
      </c>
      <c r="E69" s="12" t="s">
        <v>210</v>
      </c>
      <c r="F69" s="34">
        <v>2</v>
      </c>
      <c r="H69" s="34">
        <f>ROUND(F69*AE69,2)</f>
        <v>0</v>
      </c>
      <c r="I69" s="34">
        <f>J69-H69</f>
        <v>0</v>
      </c>
      <c r="J69" s="34">
        <f>ROUND(F69*G69,2)</f>
        <v>0</v>
      </c>
      <c r="K69" s="34">
        <v>0.066</v>
      </c>
      <c r="L69" s="34">
        <f>F69*K69</f>
        <v>0.132</v>
      </c>
      <c r="M69" s="57" t="s">
        <v>231</v>
      </c>
      <c r="N69" s="57" t="s">
        <v>232</v>
      </c>
      <c r="O69" s="34">
        <f>IF(N69="5",I69,0)</f>
        <v>0</v>
      </c>
      <c r="Z69" s="34">
        <f>IF(AD69=0,J69,0)</f>
        <v>0</v>
      </c>
      <c r="AA69" s="34">
        <f>IF(AD69=15,J69,0)</f>
        <v>0</v>
      </c>
      <c r="AB69" s="34">
        <f>IF(AD69=21,J69,0)</f>
        <v>0</v>
      </c>
      <c r="AD69" s="61">
        <v>15</v>
      </c>
      <c r="AE69" s="61">
        <f>G69*1</f>
        <v>0</v>
      </c>
      <c r="AF69" s="61">
        <f>G69*(1-1)</f>
        <v>0</v>
      </c>
    </row>
    <row r="70" spans="1:32" ht="12.75">
      <c r="A70" s="12" t="s">
        <v>54</v>
      </c>
      <c r="B70" s="12"/>
      <c r="C70" s="12" t="s">
        <v>119</v>
      </c>
      <c r="D70" s="12" t="s">
        <v>196</v>
      </c>
      <c r="E70" s="12" t="s">
        <v>210</v>
      </c>
      <c r="F70" s="34">
        <v>1</v>
      </c>
      <c r="H70" s="34">
        <f>ROUND(F70*AE70,2)</f>
        <v>0</v>
      </c>
      <c r="I70" s="34">
        <f>J70-H70</f>
        <v>0</v>
      </c>
      <c r="J70" s="34">
        <f>ROUND(F70*G70,2)</f>
        <v>0</v>
      </c>
      <c r="K70" s="34">
        <v>0.04</v>
      </c>
      <c r="L70" s="34">
        <f>F70*K70</f>
        <v>0.04</v>
      </c>
      <c r="M70" s="57" t="s">
        <v>231</v>
      </c>
      <c r="N70" s="57" t="s">
        <v>232</v>
      </c>
      <c r="O70" s="34">
        <f>IF(N70="5",I70,0)</f>
        <v>0</v>
      </c>
      <c r="Z70" s="34">
        <f>IF(AD70=0,J70,0)</f>
        <v>0</v>
      </c>
      <c r="AA70" s="34">
        <f>IF(AD70=15,J70,0)</f>
        <v>0</v>
      </c>
      <c r="AB70" s="34">
        <f>IF(AD70=21,J70,0)</f>
        <v>0</v>
      </c>
      <c r="AD70" s="61">
        <v>15</v>
      </c>
      <c r="AE70" s="61">
        <f>G70*1</f>
        <v>0</v>
      </c>
      <c r="AF70" s="61">
        <f>G70*(1-1)</f>
        <v>0</v>
      </c>
    </row>
    <row r="71" spans="1:32" ht="12.75">
      <c r="A71" s="12" t="s">
        <v>55</v>
      </c>
      <c r="B71" s="12"/>
      <c r="C71" s="12" t="s">
        <v>120</v>
      </c>
      <c r="D71" s="12" t="s">
        <v>197</v>
      </c>
      <c r="E71" s="12" t="s">
        <v>207</v>
      </c>
      <c r="F71" s="34">
        <v>113.48</v>
      </c>
      <c r="H71" s="34">
        <f>ROUND(F71*AE71,2)</f>
        <v>0</v>
      </c>
      <c r="I71" s="34">
        <f>J71-H71</f>
        <v>0</v>
      </c>
      <c r="J71" s="34">
        <f>ROUND(F71*G71,2)</f>
        <v>0</v>
      </c>
      <c r="K71" s="34">
        <v>0</v>
      </c>
      <c r="L71" s="34">
        <f>F71*K71</f>
        <v>0</v>
      </c>
      <c r="M71" s="57" t="s">
        <v>231</v>
      </c>
      <c r="N71" s="57" t="s">
        <v>232</v>
      </c>
      <c r="O71" s="34">
        <f>IF(N71="5",I71,0)</f>
        <v>0</v>
      </c>
      <c r="Z71" s="34">
        <f>IF(AD71=0,J71,0)</f>
        <v>0</v>
      </c>
      <c r="AA71" s="34">
        <f>IF(AD71=15,J71,0)</f>
        <v>0</v>
      </c>
      <c r="AB71" s="34">
        <f>IF(AD71=21,J71,0)</f>
        <v>0</v>
      </c>
      <c r="AD71" s="61">
        <v>15</v>
      </c>
      <c r="AE71" s="61">
        <f>G71*1</f>
        <v>0</v>
      </c>
      <c r="AF71" s="61">
        <f>G71*(1-1)</f>
        <v>0</v>
      </c>
    </row>
    <row r="72" spans="1:32" ht="12.75">
      <c r="A72" s="12" t="s">
        <v>56</v>
      </c>
      <c r="B72" s="12"/>
      <c r="C72" s="12" t="s">
        <v>121</v>
      </c>
      <c r="D72" s="12" t="s">
        <v>198</v>
      </c>
      <c r="E72" s="12" t="s">
        <v>210</v>
      </c>
      <c r="F72" s="34">
        <v>64.31</v>
      </c>
      <c r="H72" s="34">
        <f>ROUND(F72*AE72,2)</f>
        <v>0</v>
      </c>
      <c r="I72" s="34">
        <f>J72-H72</f>
        <v>0</v>
      </c>
      <c r="J72" s="34">
        <f>ROUND(F72*G72,2)</f>
        <v>0</v>
      </c>
      <c r="K72" s="34">
        <v>0.086</v>
      </c>
      <c r="L72" s="34">
        <f>F72*K72</f>
        <v>5.53066</v>
      </c>
      <c r="M72" s="57" t="s">
        <v>231</v>
      </c>
      <c r="N72" s="57" t="s">
        <v>232</v>
      </c>
      <c r="O72" s="34">
        <f>IF(N72="5",I72,0)</f>
        <v>0</v>
      </c>
      <c r="Z72" s="34">
        <f>IF(AD72=0,J72,0)</f>
        <v>0</v>
      </c>
      <c r="AA72" s="34">
        <f>IF(AD72=15,J72,0)</f>
        <v>0</v>
      </c>
      <c r="AB72" s="34">
        <f>IF(AD72=21,J72,0)</f>
        <v>0</v>
      </c>
      <c r="AD72" s="61">
        <v>15</v>
      </c>
      <c r="AE72" s="61">
        <f>G72*1</f>
        <v>0</v>
      </c>
      <c r="AF72" s="61">
        <f>G72*(1-1)</f>
        <v>0</v>
      </c>
    </row>
    <row r="73" spans="1:32" ht="12.75">
      <c r="A73" s="12" t="s">
        <v>57</v>
      </c>
      <c r="B73" s="12"/>
      <c r="C73" s="12" t="s">
        <v>122</v>
      </c>
      <c r="D73" s="12" t="s">
        <v>199</v>
      </c>
      <c r="E73" s="12" t="s">
        <v>206</v>
      </c>
      <c r="F73" s="34">
        <v>9.63</v>
      </c>
      <c r="H73" s="34">
        <f>ROUND(F73*AE73,2)</f>
        <v>0</v>
      </c>
      <c r="I73" s="34">
        <f>J73-H73</f>
        <v>0</v>
      </c>
      <c r="J73" s="34">
        <f>ROUND(F73*G73,2)</f>
        <v>0</v>
      </c>
      <c r="K73" s="34">
        <v>0.0002</v>
      </c>
      <c r="L73" s="34">
        <f>F73*K73</f>
        <v>0.0019260000000000002</v>
      </c>
      <c r="M73" s="57" t="s">
        <v>231</v>
      </c>
      <c r="N73" s="57" t="s">
        <v>232</v>
      </c>
      <c r="O73" s="34">
        <f>IF(N73="5",I73,0)</f>
        <v>0</v>
      </c>
      <c r="Z73" s="34">
        <f>IF(AD73=0,J73,0)</f>
        <v>0</v>
      </c>
      <c r="AA73" s="34">
        <f>IF(AD73=15,J73,0)</f>
        <v>0</v>
      </c>
      <c r="AB73" s="34">
        <f>IF(AD73=21,J73,0)</f>
        <v>0</v>
      </c>
      <c r="AD73" s="61">
        <v>15</v>
      </c>
      <c r="AE73" s="61">
        <f>G73*1</f>
        <v>0</v>
      </c>
      <c r="AF73" s="61">
        <f>G73*(1-1)</f>
        <v>0</v>
      </c>
    </row>
    <row r="74" spans="1:32" ht="12.75">
      <c r="A74" s="13" t="s">
        <v>58</v>
      </c>
      <c r="B74" s="13"/>
      <c r="C74" s="13" t="s">
        <v>123</v>
      </c>
      <c r="D74" s="13" t="s">
        <v>200</v>
      </c>
      <c r="E74" s="13" t="s">
        <v>208</v>
      </c>
      <c r="F74" s="35">
        <v>1.44</v>
      </c>
      <c r="G74" s="39"/>
      <c r="H74" s="35">
        <f>ROUND(F74*AE74,2)</f>
        <v>0</v>
      </c>
      <c r="I74" s="35">
        <f>J74-H74</f>
        <v>0</v>
      </c>
      <c r="J74" s="35">
        <f>ROUND(F74*G74,2)</f>
        <v>0</v>
      </c>
      <c r="K74" s="35">
        <v>1.6</v>
      </c>
      <c r="L74" s="35">
        <f>F74*K74</f>
        <v>2.304</v>
      </c>
      <c r="M74" s="58" t="s">
        <v>231</v>
      </c>
      <c r="N74" s="57" t="s">
        <v>232</v>
      </c>
      <c r="O74" s="34">
        <f>IF(N74="5",I74,0)</f>
        <v>0</v>
      </c>
      <c r="Z74" s="34">
        <f>IF(AD74=0,J74,0)</f>
        <v>0</v>
      </c>
      <c r="AA74" s="34">
        <f>IF(AD74=15,J74,0)</f>
        <v>0</v>
      </c>
      <c r="AB74" s="34">
        <f>IF(AD74=21,J74,0)</f>
        <v>0</v>
      </c>
      <c r="AD74" s="61">
        <v>15</v>
      </c>
      <c r="AE74" s="61">
        <f>G74*1</f>
        <v>0</v>
      </c>
      <c r="AF74" s="61">
        <f>G74*(1-1)</f>
        <v>0</v>
      </c>
    </row>
    <row r="75" spans="1:28" ht="12.75">
      <c r="A75" s="14"/>
      <c r="B75" s="14"/>
      <c r="C75" s="14"/>
      <c r="D75" s="14"/>
      <c r="E75" s="14"/>
      <c r="F75" s="14"/>
      <c r="G75" s="14"/>
      <c r="H75" s="42" t="s">
        <v>218</v>
      </c>
      <c r="I75" s="46"/>
      <c r="J75" s="64">
        <f>J12+J18+J20+J22+J27+J33+J35+J46+J50+J63</f>
        <v>0</v>
      </c>
      <c r="K75" s="14"/>
      <c r="L75" s="14"/>
      <c r="M75" s="14"/>
      <c r="Z75" s="65">
        <f>SUM(Z13:Z74)</f>
        <v>0</v>
      </c>
      <c r="AA75" s="65">
        <f>SUM(AA13:AA74)</f>
        <v>0</v>
      </c>
      <c r="AB75" s="65">
        <f>SUM(AB13:AB74)</f>
        <v>0</v>
      </c>
    </row>
    <row r="76" ht="11.25" customHeight="1">
      <c r="A76" s="15" t="s">
        <v>59</v>
      </c>
    </row>
    <row r="77" spans="1:13" ht="0" customHeight="1" hidden="1">
      <c r="A77" s="16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</sheetData>
  <mergeCells count="39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D12:G12"/>
    <mergeCell ref="D18:G18"/>
    <mergeCell ref="D20:G20"/>
    <mergeCell ref="D22:G22"/>
    <mergeCell ref="D27:G27"/>
    <mergeCell ref="D33:G33"/>
    <mergeCell ref="D35:G35"/>
    <mergeCell ref="D46:G46"/>
    <mergeCell ref="D50:G50"/>
    <mergeCell ref="D63:G63"/>
    <mergeCell ref="H75:I75"/>
    <mergeCell ref="A77:M77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workbookViewId="0" topLeftCell="A1">
      <selection activeCell="A1" sqref="A1"/>
    </sheetView>
  </sheetViews>
  <sheetFormatPr defaultColWidth="11.57421875" defaultRowHeight="12.75"/>
  <cols>
    <col min="1" max="2" width="16.57421875" customWidth="1"/>
    <col min="3" max="3" width="41.7109375" customWidth="1"/>
    <col min="4" max="4" width="22.140625" customWidth="1"/>
    <col min="5" max="5" width="21.00390625" customWidth="1"/>
    <col min="6" max="6" width="20.8515625" customWidth="1"/>
    <col min="7" max="7" width="19.7109375" customWidth="1"/>
    <col min="8" max="9" width="12.140625" hidden="1" customWidth="1"/>
  </cols>
  <sheetData>
    <row r="1" spans="1:7" ht="21.75" customHeight="1">
      <c r="A1" s="2" t="s">
        <v>258</v>
      </c>
      <c r="B1" s="17"/>
      <c r="C1" s="17"/>
      <c r="D1" s="17"/>
      <c r="E1" s="17"/>
      <c r="F1" s="17"/>
      <c r="G1" s="39"/>
    </row>
    <row r="2" spans="1:8" ht="12.75">
      <c r="A2" s="3" t="s">
        <v>1</v>
      </c>
      <c r="B2" s="25" t="s">
        <v>124</v>
      </c>
      <c r="C2" s="46"/>
      <c r="D2" s="43" t="s">
        <v>219</v>
      </c>
      <c r="E2" s="43" t="s">
        <v>224</v>
      </c>
      <c r="F2" s="18"/>
      <c r="G2" s="51"/>
      <c r="H2" s="59"/>
    </row>
    <row r="3" spans="1:8" ht="12.75">
      <c r="A3" s="4"/>
      <c r="B3" s="26"/>
      <c r="C3" s="26"/>
      <c r="D3" s="19"/>
      <c r="E3" s="19"/>
      <c r="F3" s="19"/>
      <c r="G3" s="52"/>
      <c r="H3" s="59"/>
    </row>
    <row r="4" spans="1:8" ht="12.75">
      <c r="A4" s="5" t="s">
        <v>2</v>
      </c>
      <c r="B4" s="16"/>
      <c r="C4" s="19"/>
      <c r="D4" s="16" t="s">
        <v>220</v>
      </c>
      <c r="E4" s="16" t="s">
        <v>225</v>
      </c>
      <c r="F4" s="19"/>
      <c r="G4" s="52"/>
      <c r="H4" s="59"/>
    </row>
    <row r="5" spans="1:8" ht="12.75">
      <c r="A5" s="4"/>
      <c r="B5" s="19"/>
      <c r="C5" s="19"/>
      <c r="D5" s="19"/>
      <c r="E5" s="19"/>
      <c r="F5" s="19"/>
      <c r="G5" s="52"/>
      <c r="H5" s="59"/>
    </row>
    <row r="6" spans="1:8" ht="12.75">
      <c r="A6" s="5" t="s">
        <v>3</v>
      </c>
      <c r="B6" s="16" t="s">
        <v>125</v>
      </c>
      <c r="C6" s="19"/>
      <c r="D6" s="16" t="s">
        <v>221</v>
      </c>
      <c r="E6" s="16"/>
      <c r="F6" s="19"/>
      <c r="G6" s="52"/>
      <c r="H6" s="59"/>
    </row>
    <row r="7" spans="1:8" ht="12.75">
      <c r="A7" s="4"/>
      <c r="B7" s="19"/>
      <c r="C7" s="19"/>
      <c r="D7" s="19"/>
      <c r="E7" s="19"/>
      <c r="F7" s="19"/>
      <c r="G7" s="52"/>
      <c r="H7" s="59"/>
    </row>
    <row r="8" spans="1:8" ht="12.75">
      <c r="A8" s="5" t="s">
        <v>222</v>
      </c>
      <c r="B8" s="16" t="s">
        <v>226</v>
      </c>
      <c r="C8" s="19"/>
      <c r="D8" s="29" t="s">
        <v>204</v>
      </c>
      <c r="E8" s="36">
        <v>42150</v>
      </c>
      <c r="F8" s="19"/>
      <c r="G8" s="52"/>
      <c r="H8" s="59"/>
    </row>
    <row r="9" spans="1:8" ht="12.75">
      <c r="A9" s="6"/>
      <c r="B9" s="20"/>
      <c r="C9" s="20"/>
      <c r="D9" s="20"/>
      <c r="E9" s="20"/>
      <c r="F9" s="20"/>
      <c r="G9" s="53"/>
      <c r="H9" s="59"/>
    </row>
    <row r="10" spans="1:8" ht="12.75">
      <c r="A10" s="66" t="s">
        <v>60</v>
      </c>
      <c r="B10" s="68" t="s">
        <v>61</v>
      </c>
      <c r="C10" s="69" t="s">
        <v>259</v>
      </c>
      <c r="D10" s="70" t="s">
        <v>260</v>
      </c>
      <c r="E10" s="70" t="s">
        <v>261</v>
      </c>
      <c r="F10" s="70" t="s">
        <v>262</v>
      </c>
      <c r="G10" s="73" t="s">
        <v>263</v>
      </c>
      <c r="H10" s="60"/>
    </row>
    <row r="11" spans="1:9" ht="12.75">
      <c r="A11" s="67"/>
      <c r="B11" s="67" t="s">
        <v>17</v>
      </c>
      <c r="C11" s="67" t="s">
        <v>128</v>
      </c>
      <c r="D11" s="71"/>
      <c r="E11" s="71"/>
      <c r="F11" s="74">
        <f>D11+E11</f>
        <v>0</v>
      </c>
      <c r="G11" s="74">
        <v>6.4699</v>
      </c>
      <c r="H11" s="61" t="s">
        <v>264</v>
      </c>
      <c r="I11" s="61">
        <f>IF(H11="T",0,F11)</f>
        <v>0</v>
      </c>
    </row>
    <row r="12" spans="1:9" ht="12.75">
      <c r="A12" s="29"/>
      <c r="B12" s="29" t="s">
        <v>18</v>
      </c>
      <c r="C12" s="29" t="s">
        <v>132</v>
      </c>
      <c r="F12" s="61">
        <f>D12+E12</f>
        <v>0</v>
      </c>
      <c r="G12" s="61">
        <v>9.0366</v>
      </c>
      <c r="H12" s="61" t="s">
        <v>264</v>
      </c>
      <c r="I12" s="61">
        <f>IF(H12="T",0,F12)</f>
        <v>0</v>
      </c>
    </row>
    <row r="13" spans="1:9" ht="12.75">
      <c r="A13" s="29"/>
      <c r="B13" s="29" t="s">
        <v>37</v>
      </c>
      <c r="C13" s="29" t="s">
        <v>135</v>
      </c>
      <c r="F13" s="61">
        <f>D13+E13</f>
        <v>0</v>
      </c>
      <c r="G13" s="61">
        <v>1.61533</v>
      </c>
      <c r="H13" s="61" t="s">
        <v>264</v>
      </c>
      <c r="I13" s="61">
        <f>IF(H13="T",0,F13)</f>
        <v>0</v>
      </c>
    </row>
    <row r="14" spans="1:9" ht="12.75">
      <c r="A14" s="29"/>
      <c r="B14" s="29" t="s">
        <v>51</v>
      </c>
      <c r="C14" s="29" t="s">
        <v>137</v>
      </c>
      <c r="F14" s="61">
        <f>D14+E14</f>
        <v>0</v>
      </c>
      <c r="G14" s="61">
        <v>0.0027</v>
      </c>
      <c r="H14" s="61" t="s">
        <v>264</v>
      </c>
      <c r="I14" s="61">
        <f>IF(H14="T",0,F14)</f>
        <v>0</v>
      </c>
    </row>
    <row r="15" spans="1:9" ht="12.75">
      <c r="A15" s="29"/>
      <c r="B15" s="29" t="s">
        <v>68</v>
      </c>
      <c r="C15" s="29" t="s">
        <v>139</v>
      </c>
      <c r="F15" s="61">
        <f>D15+E15</f>
        <v>0</v>
      </c>
      <c r="G15" s="61">
        <v>16.85305</v>
      </c>
      <c r="H15" s="61" t="s">
        <v>264</v>
      </c>
      <c r="I15" s="61">
        <f>IF(H15="T",0,F15)</f>
        <v>0</v>
      </c>
    </row>
    <row r="16" spans="1:9" ht="12.75">
      <c r="A16" s="29"/>
      <c r="B16" s="29" t="s">
        <v>12</v>
      </c>
      <c r="C16" s="29" t="s">
        <v>144</v>
      </c>
      <c r="F16" s="61">
        <f>D16+E16</f>
        <v>0</v>
      </c>
      <c r="G16" s="61">
        <v>0.02673</v>
      </c>
      <c r="H16" s="61" t="s">
        <v>264</v>
      </c>
      <c r="I16" s="61">
        <f>IF(H16="T",0,F16)</f>
        <v>0</v>
      </c>
    </row>
    <row r="17" spans="1:9" ht="12.75">
      <c r="A17" s="29"/>
      <c r="B17" s="29" t="s">
        <v>74</v>
      </c>
      <c r="C17" s="29" t="s">
        <v>146</v>
      </c>
      <c r="F17" s="61">
        <f>D17+E17</f>
        <v>0</v>
      </c>
      <c r="G17" s="61">
        <v>0.03973</v>
      </c>
      <c r="H17" s="61" t="s">
        <v>264</v>
      </c>
      <c r="I17" s="61">
        <f>IF(H17="T",0,F17)</f>
        <v>0</v>
      </c>
    </row>
    <row r="18" spans="1:9" ht="12.75">
      <c r="A18" s="29"/>
      <c r="B18" s="29" t="s">
        <v>76</v>
      </c>
      <c r="C18" s="29" t="s">
        <v>148</v>
      </c>
      <c r="F18" s="61">
        <f>D18+E18</f>
        <v>0</v>
      </c>
      <c r="G18" s="61">
        <v>0.04512</v>
      </c>
      <c r="H18" s="61" t="s">
        <v>264</v>
      </c>
      <c r="I18" s="61">
        <f>IF(H18="T",0,F18)</f>
        <v>0</v>
      </c>
    </row>
    <row r="19" spans="1:9" ht="12.75">
      <c r="A19" s="29"/>
      <c r="B19" s="29" t="s">
        <v>78</v>
      </c>
      <c r="C19" s="29" t="s">
        <v>150</v>
      </c>
      <c r="F19" s="61">
        <f>D19+E19</f>
        <v>0</v>
      </c>
      <c r="G19" s="61">
        <v>17.86675</v>
      </c>
      <c r="H19" s="61" t="s">
        <v>264</v>
      </c>
      <c r="I19" s="61">
        <f>IF(H19="T",0,F19)</f>
        <v>0</v>
      </c>
    </row>
    <row r="20" spans="1:9" ht="12.75">
      <c r="A20" s="29"/>
      <c r="B20" s="29" t="s">
        <v>81</v>
      </c>
      <c r="C20" s="29" t="s">
        <v>153</v>
      </c>
      <c r="F20" s="61">
        <f>D20+E20</f>
        <v>0</v>
      </c>
      <c r="G20" s="61">
        <v>0.00236</v>
      </c>
      <c r="H20" s="61" t="s">
        <v>264</v>
      </c>
      <c r="I20" s="61">
        <f>IF(H20="T",0,F20)</f>
        <v>0</v>
      </c>
    </row>
    <row r="21" spans="1:9" ht="12.75">
      <c r="A21" s="29"/>
      <c r="B21" s="29" t="s">
        <v>83</v>
      </c>
      <c r="C21" s="29" t="s">
        <v>155</v>
      </c>
      <c r="F21" s="61">
        <f>D21+E21</f>
        <v>0</v>
      </c>
      <c r="G21" s="61">
        <v>0.04864</v>
      </c>
      <c r="H21" s="61" t="s">
        <v>264</v>
      </c>
      <c r="I21" s="61">
        <f>IF(H21="T",0,F21)</f>
        <v>0</v>
      </c>
    </row>
    <row r="22" spans="1:9" ht="12.75">
      <c r="A22" s="29"/>
      <c r="B22" s="29" t="s">
        <v>87</v>
      </c>
      <c r="C22" s="29" t="s">
        <v>159</v>
      </c>
      <c r="F22" s="61">
        <f>D22+E22</f>
        <v>0</v>
      </c>
      <c r="G22" s="61">
        <v>0.0471</v>
      </c>
      <c r="H22" s="61" t="s">
        <v>264</v>
      </c>
      <c r="I22" s="61">
        <f>IF(H22="T",0,F22)</f>
        <v>0</v>
      </c>
    </row>
    <row r="23" spans="1:9" ht="12.75">
      <c r="A23" s="29"/>
      <c r="B23" s="29" t="s">
        <v>92</v>
      </c>
      <c r="C23" s="29" t="s">
        <v>164</v>
      </c>
      <c r="F23" s="61">
        <f>D23+E23</f>
        <v>0</v>
      </c>
      <c r="G23" s="61">
        <v>0.106</v>
      </c>
      <c r="H23" s="61" t="s">
        <v>264</v>
      </c>
      <c r="I23" s="61">
        <f>IF(H23="T",0,F23)</f>
        <v>0</v>
      </c>
    </row>
    <row r="24" spans="1:9" ht="12.75">
      <c r="A24" s="29"/>
      <c r="B24" s="29" t="s">
        <v>95</v>
      </c>
      <c r="C24" s="29" t="s">
        <v>168</v>
      </c>
      <c r="F24" s="61">
        <f>D24+E24</f>
        <v>0</v>
      </c>
      <c r="G24" s="61">
        <v>0.00071</v>
      </c>
      <c r="H24" s="61" t="s">
        <v>264</v>
      </c>
      <c r="I24" s="61">
        <f>IF(H24="T",0,F24)</f>
        <v>0</v>
      </c>
    </row>
    <row r="25" spans="1:9" ht="12.75">
      <c r="A25" s="29"/>
      <c r="B25" s="29" t="s">
        <v>98</v>
      </c>
      <c r="C25" s="29" t="s">
        <v>171</v>
      </c>
      <c r="F25" s="61">
        <f>D25+E25</f>
        <v>0</v>
      </c>
      <c r="G25" s="61">
        <v>0.00166</v>
      </c>
      <c r="H25" s="61" t="s">
        <v>264</v>
      </c>
      <c r="I25" s="61">
        <f>IF(H25="T",0,F25)</f>
        <v>0</v>
      </c>
    </row>
    <row r="26" spans="1:9" ht="12.75">
      <c r="A26" s="29"/>
      <c r="B26" s="29" t="s">
        <v>100</v>
      </c>
      <c r="C26" s="29" t="s">
        <v>173</v>
      </c>
      <c r="F26" s="61">
        <f>D26+E26</f>
        <v>0</v>
      </c>
      <c r="G26" s="61">
        <v>6.0908</v>
      </c>
      <c r="H26" s="61" t="s">
        <v>264</v>
      </c>
      <c r="I26" s="61">
        <f>IF(H26="T",0,F26)</f>
        <v>0</v>
      </c>
    </row>
    <row r="27" spans="1:9" ht="12.75">
      <c r="A27" s="29"/>
      <c r="B27" s="29" t="s">
        <v>102</v>
      </c>
      <c r="C27" s="29" t="s">
        <v>175</v>
      </c>
      <c r="F27" s="61">
        <f>D27+E27</f>
        <v>0</v>
      </c>
      <c r="G27" s="61">
        <v>1.2837</v>
      </c>
      <c r="H27" s="61" t="s">
        <v>264</v>
      </c>
      <c r="I27" s="61">
        <f>IF(H27="T",0,F27)</f>
        <v>0</v>
      </c>
    </row>
    <row r="28" spans="1:9" ht="12.75">
      <c r="A28" s="29"/>
      <c r="B28" s="29" t="s">
        <v>109</v>
      </c>
      <c r="C28" s="29" t="s">
        <v>182</v>
      </c>
      <c r="F28" s="61">
        <f>D28+E28</f>
        <v>0</v>
      </c>
      <c r="G28" s="61">
        <v>2.4375</v>
      </c>
      <c r="H28" s="61" t="s">
        <v>264</v>
      </c>
      <c r="I28" s="61">
        <f>IF(H28="T",0,F28)</f>
        <v>0</v>
      </c>
    </row>
    <row r="29" spans="1:9" ht="12.75">
      <c r="A29" s="29"/>
      <c r="B29" s="29" t="s">
        <v>111</v>
      </c>
      <c r="C29" s="29" t="s">
        <v>184</v>
      </c>
      <c r="F29" s="61">
        <f>D29+E29</f>
        <v>0</v>
      </c>
      <c r="G29" s="61">
        <v>0</v>
      </c>
      <c r="H29" s="61" t="s">
        <v>264</v>
      </c>
      <c r="I29" s="61">
        <f>IF(H29="T",0,F29)</f>
        <v>0</v>
      </c>
    </row>
    <row r="30" spans="1:9" ht="12.75">
      <c r="A30" s="29"/>
      <c r="B30" s="29"/>
      <c r="C30" s="29" t="s">
        <v>189</v>
      </c>
      <c r="F30" s="61">
        <f>D30+E30</f>
        <v>0</v>
      </c>
      <c r="G30" s="61">
        <v>8.26659</v>
      </c>
      <c r="H30" s="61" t="s">
        <v>264</v>
      </c>
      <c r="I30" s="61">
        <f>IF(H30="T",0,F30)</f>
        <v>0</v>
      </c>
    </row>
    <row r="32" spans="5:6" ht="12.75">
      <c r="E32" s="72" t="s">
        <v>218</v>
      </c>
      <c r="F32" s="65">
        <f>SUM(I11:I30)</f>
        <v>0</v>
      </c>
    </row>
  </sheetData>
  <mergeCells count="17">
    <mergeCell ref="A1:F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0"/>
  <sheetViews>
    <sheetView workbookViewId="0" topLeftCell="A1">
      <selection activeCell="A1" sqref="A1"/>
    </sheetView>
  </sheetViews>
  <sheetFormatPr defaultColWidth="11.57421875" defaultRowHeight="12.75"/>
  <cols>
    <col min="1" max="2" width="9.140625" customWidth="1"/>
    <col min="3" max="3" width="13.28125" customWidth="1"/>
    <col min="4" max="4" width="133.8515625" customWidth="1"/>
    <col min="5" max="5" width="14.57421875" customWidth="1"/>
    <col min="6" max="6" width="24.140625" customWidth="1"/>
    <col min="7" max="7" width="20.421875" customWidth="1"/>
    <col min="8" max="8" width="16.421875" customWidth="1"/>
  </cols>
  <sheetData>
    <row r="1" spans="1:8" ht="21.75" customHeight="1">
      <c r="A1" s="2" t="s">
        <v>265</v>
      </c>
      <c r="B1" s="17"/>
      <c r="C1" s="17"/>
      <c r="D1" s="17"/>
      <c r="E1" s="17"/>
      <c r="F1" s="17"/>
      <c r="G1" s="17"/>
      <c r="H1" s="17"/>
    </row>
    <row r="2" spans="1:9" ht="12.75">
      <c r="A2" s="3" t="s">
        <v>1</v>
      </c>
      <c r="B2" s="18"/>
      <c r="C2" s="25" t="s">
        <v>124</v>
      </c>
      <c r="D2" s="46"/>
      <c r="E2" s="43" t="s">
        <v>219</v>
      </c>
      <c r="F2" s="43" t="s">
        <v>224</v>
      </c>
      <c r="G2" s="18"/>
      <c r="H2" s="51"/>
      <c r="I2" s="59"/>
    </row>
    <row r="3" spans="1:9" ht="12.75">
      <c r="A3" s="4"/>
      <c r="B3" s="19"/>
      <c r="C3" s="26"/>
      <c r="D3" s="26"/>
      <c r="E3" s="19"/>
      <c r="F3" s="19"/>
      <c r="G3" s="19"/>
      <c r="H3" s="52"/>
      <c r="I3" s="59"/>
    </row>
    <row r="4" spans="1:9" ht="12.75">
      <c r="A4" s="5" t="s">
        <v>2</v>
      </c>
      <c r="B4" s="19"/>
      <c r="C4" s="16"/>
      <c r="D4" s="19"/>
      <c r="E4" s="16" t="s">
        <v>220</v>
      </c>
      <c r="F4" s="16" t="s">
        <v>225</v>
      </c>
      <c r="G4" s="19"/>
      <c r="H4" s="52"/>
      <c r="I4" s="59"/>
    </row>
    <row r="5" spans="1:9" ht="12.75">
      <c r="A5" s="4"/>
      <c r="B5" s="19"/>
      <c r="C5" s="19"/>
      <c r="D5" s="19"/>
      <c r="E5" s="19"/>
      <c r="F5" s="19"/>
      <c r="G5" s="19"/>
      <c r="H5" s="52"/>
      <c r="I5" s="59"/>
    </row>
    <row r="6" spans="1:9" ht="12.75">
      <c r="A6" s="5" t="s">
        <v>3</v>
      </c>
      <c r="B6" s="19"/>
      <c r="C6" s="16" t="s">
        <v>125</v>
      </c>
      <c r="D6" s="19"/>
      <c r="E6" s="16" t="s">
        <v>221</v>
      </c>
      <c r="F6" s="16"/>
      <c r="G6" s="19"/>
      <c r="H6" s="52"/>
      <c r="I6" s="59"/>
    </row>
    <row r="7" spans="1:9" ht="12.75">
      <c r="A7" s="4"/>
      <c r="B7" s="19"/>
      <c r="C7" s="19"/>
      <c r="D7" s="19"/>
      <c r="E7" s="19"/>
      <c r="F7" s="19"/>
      <c r="G7" s="19"/>
      <c r="H7" s="52"/>
      <c r="I7" s="59"/>
    </row>
    <row r="8" spans="1:9" ht="12.75">
      <c r="A8" s="5" t="s">
        <v>222</v>
      </c>
      <c r="B8" s="19"/>
      <c r="C8" s="16" t="s">
        <v>226</v>
      </c>
      <c r="D8" s="19"/>
      <c r="E8" s="29" t="s">
        <v>204</v>
      </c>
      <c r="F8" s="36">
        <v>42150</v>
      </c>
      <c r="G8" s="19"/>
      <c r="H8" s="52"/>
      <c r="I8" s="59"/>
    </row>
    <row r="9" spans="1:9" ht="12.75">
      <c r="A9" s="6"/>
      <c r="B9" s="20"/>
      <c r="C9" s="20"/>
      <c r="D9" s="20"/>
      <c r="E9" s="20"/>
      <c r="F9" s="20"/>
      <c r="G9" s="20"/>
      <c r="H9" s="53"/>
      <c r="I9" s="59"/>
    </row>
    <row r="10" spans="1:9" ht="12.75">
      <c r="A10" s="68" t="s">
        <v>5</v>
      </c>
      <c r="B10" s="69" t="s">
        <v>60</v>
      </c>
      <c r="C10" s="69" t="s">
        <v>61</v>
      </c>
      <c r="D10" s="69" t="s">
        <v>126</v>
      </c>
      <c r="E10" s="69" t="s">
        <v>205</v>
      </c>
      <c r="F10" s="69" t="s">
        <v>127</v>
      </c>
      <c r="G10" s="77" t="s">
        <v>213</v>
      </c>
      <c r="H10" s="66" t="s">
        <v>300</v>
      </c>
      <c r="I10" s="60"/>
    </row>
    <row r="11" spans="1:8" ht="12.75">
      <c r="A11" s="75" t="s">
        <v>7</v>
      </c>
      <c r="B11" s="75"/>
      <c r="C11" s="75" t="s">
        <v>62</v>
      </c>
      <c r="D11" s="75" t="s">
        <v>129</v>
      </c>
      <c r="E11" s="75" t="s">
        <v>206</v>
      </c>
      <c r="F11" s="75"/>
      <c r="G11" s="78">
        <v>43.01</v>
      </c>
      <c r="H11" s="79" t="s">
        <v>231</v>
      </c>
    </row>
    <row r="12" ht="12.75">
      <c r="D12" s="76" t="s">
        <v>130</v>
      </c>
    </row>
    <row r="13" spans="1:7" ht="12.75">
      <c r="A13" s="10"/>
      <c r="B13" s="10"/>
      <c r="C13" s="10"/>
      <c r="D13" s="10" t="s">
        <v>266</v>
      </c>
      <c r="E13" s="10"/>
      <c r="F13" s="10" t="s">
        <v>266</v>
      </c>
      <c r="G13" s="33">
        <v>43.01</v>
      </c>
    </row>
    <row r="14" spans="1:8" ht="12.75">
      <c r="A14" s="10" t="s">
        <v>8</v>
      </c>
      <c r="B14" s="10"/>
      <c r="C14" s="10" t="s">
        <v>63</v>
      </c>
      <c r="D14" s="10" t="s">
        <v>131</v>
      </c>
      <c r="E14" s="10" t="s">
        <v>207</v>
      </c>
      <c r="F14" s="10"/>
      <c r="G14" s="33">
        <v>18.9</v>
      </c>
      <c r="H14" s="56" t="s">
        <v>231</v>
      </c>
    </row>
    <row r="15" spans="1:7" ht="12.75">
      <c r="A15" s="10"/>
      <c r="B15" s="10"/>
      <c r="C15" s="10"/>
      <c r="D15" s="10" t="s">
        <v>267</v>
      </c>
      <c r="E15" s="10"/>
      <c r="F15" s="10" t="s">
        <v>267</v>
      </c>
      <c r="G15" s="33">
        <v>18.9</v>
      </c>
    </row>
    <row r="16" spans="1:8" ht="12.75">
      <c r="A16" s="10" t="s">
        <v>9</v>
      </c>
      <c r="B16" s="10"/>
      <c r="C16" s="10" t="s">
        <v>64</v>
      </c>
      <c r="D16" s="10" t="s">
        <v>133</v>
      </c>
      <c r="E16" s="10" t="s">
        <v>208</v>
      </c>
      <c r="F16" s="10"/>
      <c r="G16" s="33">
        <v>4.26</v>
      </c>
      <c r="H16" s="56" t="s">
        <v>231</v>
      </c>
    </row>
    <row r="17" spans="1:7" ht="12.75">
      <c r="A17" s="10"/>
      <c r="B17" s="10"/>
      <c r="C17" s="10"/>
      <c r="D17" s="10" t="s">
        <v>268</v>
      </c>
      <c r="E17" s="10"/>
      <c r="F17" s="10" t="s">
        <v>268</v>
      </c>
      <c r="G17" s="33">
        <v>4.26</v>
      </c>
    </row>
    <row r="18" spans="1:8" ht="12.75">
      <c r="A18" s="10" t="s">
        <v>10</v>
      </c>
      <c r="B18" s="10"/>
      <c r="C18" s="10" t="s">
        <v>65</v>
      </c>
      <c r="D18" s="10" t="s">
        <v>134</v>
      </c>
      <c r="E18" s="10" t="s">
        <v>208</v>
      </c>
      <c r="F18" s="10"/>
      <c r="G18" s="33">
        <v>5.57</v>
      </c>
      <c r="H18" s="56" t="s">
        <v>231</v>
      </c>
    </row>
    <row r="19" spans="1:7" ht="12.75">
      <c r="A19" s="10"/>
      <c r="B19" s="10"/>
      <c r="C19" s="10"/>
      <c r="D19" s="10" t="s">
        <v>269</v>
      </c>
      <c r="E19" s="10"/>
      <c r="F19" s="10" t="s">
        <v>269</v>
      </c>
      <c r="G19" s="33">
        <v>5.57</v>
      </c>
    </row>
    <row r="20" spans="1:8" ht="12.75">
      <c r="A20" s="10" t="s">
        <v>11</v>
      </c>
      <c r="B20" s="10"/>
      <c r="C20" s="10" t="s">
        <v>66</v>
      </c>
      <c r="D20" s="10" t="s">
        <v>136</v>
      </c>
      <c r="E20" s="10" t="s">
        <v>209</v>
      </c>
      <c r="F20" s="10"/>
      <c r="G20" s="33">
        <v>9.8</v>
      </c>
      <c r="H20" s="56" t="s">
        <v>231</v>
      </c>
    </row>
    <row r="21" spans="1:7" ht="12.75">
      <c r="A21" s="10"/>
      <c r="B21" s="10"/>
      <c r="C21" s="10"/>
      <c r="D21" s="10" t="s">
        <v>270</v>
      </c>
      <c r="E21" s="10"/>
      <c r="F21" s="10" t="s">
        <v>270</v>
      </c>
      <c r="G21" s="33">
        <v>9.8</v>
      </c>
    </row>
    <row r="22" spans="1:8" ht="12.75">
      <c r="A22" s="10" t="s">
        <v>12</v>
      </c>
      <c r="B22" s="10"/>
      <c r="C22" s="10" t="s">
        <v>67</v>
      </c>
      <c r="D22" s="10" t="s">
        <v>138</v>
      </c>
      <c r="E22" s="10" t="s">
        <v>206</v>
      </c>
      <c r="F22" s="10"/>
      <c r="G22" s="33">
        <v>9.63</v>
      </c>
      <c r="H22" s="56" t="s">
        <v>231</v>
      </c>
    </row>
    <row r="23" spans="1:7" ht="12.75">
      <c r="A23" s="10"/>
      <c r="B23" s="10"/>
      <c r="C23" s="10"/>
      <c r="D23" s="10" t="s">
        <v>271</v>
      </c>
      <c r="E23" s="10"/>
      <c r="F23" s="10" t="s">
        <v>271</v>
      </c>
      <c r="G23" s="33">
        <v>9.63</v>
      </c>
    </row>
    <row r="24" spans="1:8" ht="12.75">
      <c r="A24" s="10" t="s">
        <v>13</v>
      </c>
      <c r="B24" s="10"/>
      <c r="C24" s="10" t="s">
        <v>69</v>
      </c>
      <c r="D24" s="10" t="s">
        <v>140</v>
      </c>
      <c r="E24" s="10" t="s">
        <v>206</v>
      </c>
      <c r="F24" s="10"/>
      <c r="G24" s="33">
        <v>43.01</v>
      </c>
      <c r="H24" s="56" t="s">
        <v>231</v>
      </c>
    </row>
    <row r="25" spans="1:7" ht="12.75">
      <c r="A25" s="10"/>
      <c r="B25" s="10"/>
      <c r="C25" s="10"/>
      <c r="D25" s="10" t="s">
        <v>266</v>
      </c>
      <c r="E25" s="10"/>
      <c r="F25" s="10" t="s">
        <v>266</v>
      </c>
      <c r="G25" s="33">
        <v>43.01</v>
      </c>
    </row>
    <row r="26" spans="1:8" ht="12.75">
      <c r="A26" s="10" t="s">
        <v>14</v>
      </c>
      <c r="B26" s="10"/>
      <c r="C26" s="10" t="s">
        <v>70</v>
      </c>
      <c r="D26" s="10" t="s">
        <v>141</v>
      </c>
      <c r="E26" s="10" t="s">
        <v>206</v>
      </c>
      <c r="F26" s="10"/>
      <c r="G26" s="33">
        <v>43.01</v>
      </c>
      <c r="H26" s="56" t="s">
        <v>231</v>
      </c>
    </row>
    <row r="27" spans="1:7" ht="12.75">
      <c r="A27" s="10"/>
      <c r="B27" s="10"/>
      <c r="C27" s="10"/>
      <c r="D27" s="10" t="s">
        <v>266</v>
      </c>
      <c r="E27" s="10"/>
      <c r="F27" s="10" t="s">
        <v>266</v>
      </c>
      <c r="G27" s="33">
        <v>43.01</v>
      </c>
    </row>
    <row r="28" spans="1:8" ht="12.75">
      <c r="A28" s="10" t="s">
        <v>15</v>
      </c>
      <c r="B28" s="10"/>
      <c r="C28" s="10" t="s">
        <v>71</v>
      </c>
      <c r="D28" s="10" t="s">
        <v>142</v>
      </c>
      <c r="E28" s="10" t="s">
        <v>206</v>
      </c>
      <c r="F28" s="10"/>
      <c r="G28" s="33">
        <v>43.01</v>
      </c>
      <c r="H28" s="56" t="s">
        <v>231</v>
      </c>
    </row>
    <row r="29" spans="1:7" ht="12.75">
      <c r="A29" s="10"/>
      <c r="B29" s="10"/>
      <c r="C29" s="10"/>
      <c r="D29" s="10" t="s">
        <v>266</v>
      </c>
      <c r="E29" s="10"/>
      <c r="F29" s="10" t="s">
        <v>266</v>
      </c>
      <c r="G29" s="33">
        <v>43.01</v>
      </c>
    </row>
    <row r="30" spans="1:8" ht="12.75">
      <c r="A30" s="10" t="s">
        <v>16</v>
      </c>
      <c r="B30" s="10"/>
      <c r="C30" s="10" t="s">
        <v>72</v>
      </c>
      <c r="D30" s="10" t="s">
        <v>143</v>
      </c>
      <c r="E30" s="10" t="s">
        <v>206</v>
      </c>
      <c r="F30" s="10"/>
      <c r="G30" s="33">
        <v>9.63</v>
      </c>
      <c r="H30" s="56" t="s">
        <v>231</v>
      </c>
    </row>
    <row r="31" spans="1:7" ht="12.75">
      <c r="A31" s="10"/>
      <c r="B31" s="10"/>
      <c r="C31" s="10"/>
      <c r="D31" s="10" t="s">
        <v>271</v>
      </c>
      <c r="E31" s="10"/>
      <c r="F31" s="10" t="s">
        <v>271</v>
      </c>
      <c r="G31" s="33">
        <v>9.63</v>
      </c>
    </row>
    <row r="32" spans="1:8" ht="12.75">
      <c r="A32" s="10" t="s">
        <v>17</v>
      </c>
      <c r="B32" s="10"/>
      <c r="C32" s="10" t="s">
        <v>73</v>
      </c>
      <c r="D32" s="10" t="s">
        <v>145</v>
      </c>
      <c r="E32" s="10" t="s">
        <v>206</v>
      </c>
      <c r="F32" s="10"/>
      <c r="G32" s="33">
        <v>11.57</v>
      </c>
      <c r="H32" s="56" t="s">
        <v>231</v>
      </c>
    </row>
    <row r="33" spans="1:7" ht="12.75">
      <c r="A33" s="10"/>
      <c r="B33" s="10"/>
      <c r="C33" s="10"/>
      <c r="D33" s="10" t="s">
        <v>272</v>
      </c>
      <c r="E33" s="10"/>
      <c r="F33" s="10" t="s">
        <v>272</v>
      </c>
      <c r="G33" s="33">
        <v>11.57</v>
      </c>
    </row>
    <row r="34" spans="1:8" ht="12.75">
      <c r="A34" s="10" t="s">
        <v>18</v>
      </c>
      <c r="B34" s="10"/>
      <c r="C34" s="10" t="s">
        <v>75</v>
      </c>
      <c r="D34" s="10" t="s">
        <v>147</v>
      </c>
      <c r="E34" s="10" t="s">
        <v>206</v>
      </c>
      <c r="F34" s="10"/>
      <c r="G34" s="33">
        <v>7.64</v>
      </c>
      <c r="H34" s="56" t="s">
        <v>231</v>
      </c>
    </row>
    <row r="35" spans="1:7" ht="12.75">
      <c r="A35" s="10"/>
      <c r="B35" s="10"/>
      <c r="C35" s="10"/>
      <c r="D35" s="10" t="s">
        <v>7</v>
      </c>
      <c r="E35" s="10"/>
      <c r="F35" s="10" t="s">
        <v>7</v>
      </c>
      <c r="G35" s="33">
        <v>1</v>
      </c>
    </row>
    <row r="36" spans="1:7" ht="12.75">
      <c r="A36" s="10"/>
      <c r="B36" s="10"/>
      <c r="C36" s="10"/>
      <c r="D36" s="10" t="s">
        <v>273</v>
      </c>
      <c r="E36" s="10"/>
      <c r="F36" s="10" t="s">
        <v>273</v>
      </c>
      <c r="G36" s="33">
        <v>4.28</v>
      </c>
    </row>
    <row r="37" spans="1:7" ht="12.75">
      <c r="A37" s="10"/>
      <c r="B37" s="10"/>
      <c r="C37" s="10"/>
      <c r="D37" s="10" t="s">
        <v>274</v>
      </c>
      <c r="E37" s="10"/>
      <c r="F37" s="10" t="s">
        <v>274</v>
      </c>
      <c r="G37" s="33">
        <v>2.36</v>
      </c>
    </row>
    <row r="38" spans="1:8" ht="12.75">
      <c r="A38" s="10" t="s">
        <v>19</v>
      </c>
      <c r="B38" s="10"/>
      <c r="C38" s="10" t="s">
        <v>77</v>
      </c>
      <c r="D38" s="10" t="s">
        <v>149</v>
      </c>
      <c r="E38" s="10" t="s">
        <v>206</v>
      </c>
      <c r="F38" s="10"/>
      <c r="G38" s="33">
        <v>5.64</v>
      </c>
      <c r="H38" s="56" t="s">
        <v>231</v>
      </c>
    </row>
    <row r="39" spans="1:7" ht="12.75">
      <c r="A39" s="10"/>
      <c r="B39" s="10"/>
      <c r="C39" s="10"/>
      <c r="D39" s="10" t="s">
        <v>275</v>
      </c>
      <c r="E39" s="10"/>
      <c r="F39" s="10" t="s">
        <v>275</v>
      </c>
      <c r="G39" s="33">
        <v>5.64</v>
      </c>
    </row>
    <row r="40" spans="1:8" ht="12.75">
      <c r="A40" s="10" t="s">
        <v>20</v>
      </c>
      <c r="B40" s="10"/>
      <c r="C40" s="10" t="s">
        <v>79</v>
      </c>
      <c r="D40" s="10" t="s">
        <v>151</v>
      </c>
      <c r="E40" s="10" t="s">
        <v>206</v>
      </c>
      <c r="F40" s="10"/>
      <c r="G40" s="33">
        <v>32.74</v>
      </c>
      <c r="H40" s="56" t="s">
        <v>231</v>
      </c>
    </row>
    <row r="41" spans="1:7" ht="12.75">
      <c r="A41" s="10"/>
      <c r="B41" s="10"/>
      <c r="C41" s="10"/>
      <c r="D41" s="10" t="s">
        <v>276</v>
      </c>
      <c r="E41" s="10"/>
      <c r="F41" s="10" t="s">
        <v>276</v>
      </c>
      <c r="G41" s="33">
        <v>32.74</v>
      </c>
    </row>
    <row r="42" spans="1:8" ht="12.75">
      <c r="A42" s="10" t="s">
        <v>21</v>
      </c>
      <c r="B42" s="10"/>
      <c r="C42" s="10" t="s">
        <v>80</v>
      </c>
      <c r="D42" s="10" t="s">
        <v>152</v>
      </c>
      <c r="E42" s="10" t="s">
        <v>206</v>
      </c>
      <c r="F42" s="10"/>
      <c r="G42" s="33">
        <v>36.25</v>
      </c>
      <c r="H42" s="56" t="s">
        <v>231</v>
      </c>
    </row>
    <row r="43" spans="1:7" ht="12.75">
      <c r="A43" s="10"/>
      <c r="B43" s="10"/>
      <c r="C43" s="10"/>
      <c r="D43" s="10" t="s">
        <v>277</v>
      </c>
      <c r="E43" s="10"/>
      <c r="F43" s="10" t="s">
        <v>277</v>
      </c>
      <c r="G43" s="33">
        <v>36.25</v>
      </c>
    </row>
    <row r="44" spans="1:8" ht="12.75">
      <c r="A44" s="10" t="s">
        <v>22</v>
      </c>
      <c r="B44" s="10"/>
      <c r="C44" s="10" t="s">
        <v>82</v>
      </c>
      <c r="D44" s="10" t="s">
        <v>154</v>
      </c>
      <c r="E44" s="10" t="s">
        <v>206</v>
      </c>
      <c r="F44" s="10"/>
      <c r="G44" s="33">
        <v>29.5</v>
      </c>
      <c r="H44" s="56" t="s">
        <v>231</v>
      </c>
    </row>
    <row r="45" spans="1:7" ht="12.75">
      <c r="A45" s="10"/>
      <c r="B45" s="10"/>
      <c r="C45" s="10"/>
      <c r="D45" s="10" t="s">
        <v>278</v>
      </c>
      <c r="E45" s="10"/>
      <c r="F45" s="10" t="s">
        <v>278</v>
      </c>
      <c r="G45" s="33">
        <v>29.5</v>
      </c>
    </row>
    <row r="46" spans="1:8" ht="12.75">
      <c r="A46" s="10" t="s">
        <v>23</v>
      </c>
      <c r="B46" s="10"/>
      <c r="C46" s="10" t="s">
        <v>84</v>
      </c>
      <c r="D46" s="10" t="s">
        <v>156</v>
      </c>
      <c r="E46" s="10" t="s">
        <v>207</v>
      </c>
      <c r="F46" s="10"/>
      <c r="G46" s="33">
        <v>5.2</v>
      </c>
      <c r="H46" s="56" t="s">
        <v>231</v>
      </c>
    </row>
    <row r="47" spans="1:7" ht="12.75">
      <c r="A47" s="10"/>
      <c r="B47" s="10"/>
      <c r="C47" s="10"/>
      <c r="D47" s="10" t="s">
        <v>279</v>
      </c>
      <c r="E47" s="10"/>
      <c r="F47" s="10" t="s">
        <v>279</v>
      </c>
      <c r="G47" s="33">
        <v>5.2</v>
      </c>
    </row>
    <row r="48" spans="1:8" ht="12.75">
      <c r="A48" s="12" t="s">
        <v>24</v>
      </c>
      <c r="B48" s="12"/>
      <c r="C48" s="12" t="s">
        <v>85</v>
      </c>
      <c r="D48" s="12" t="s">
        <v>157</v>
      </c>
      <c r="E48" s="12" t="s">
        <v>207</v>
      </c>
      <c r="F48" s="12"/>
      <c r="G48" s="34">
        <v>14.37</v>
      </c>
      <c r="H48" s="57" t="s">
        <v>231</v>
      </c>
    </row>
    <row r="49" spans="1:7" ht="12.75">
      <c r="A49" s="12"/>
      <c r="B49" s="12"/>
      <c r="C49" s="12"/>
      <c r="D49" s="12" t="s">
        <v>280</v>
      </c>
      <c r="E49" s="12"/>
      <c r="F49" s="12" t="s">
        <v>280</v>
      </c>
      <c r="G49" s="34">
        <v>14.37</v>
      </c>
    </row>
    <row r="50" spans="1:8" ht="12.75">
      <c r="A50" s="10" t="s">
        <v>25</v>
      </c>
      <c r="B50" s="10"/>
      <c r="C50" s="10" t="s">
        <v>86</v>
      </c>
      <c r="D50" s="10" t="s">
        <v>158</v>
      </c>
      <c r="E50" s="10" t="s">
        <v>207</v>
      </c>
      <c r="F50" s="10"/>
      <c r="G50" s="33">
        <v>14.37</v>
      </c>
      <c r="H50" s="56" t="s">
        <v>231</v>
      </c>
    </row>
    <row r="51" spans="1:7" ht="12.75">
      <c r="A51" s="10"/>
      <c r="B51" s="10"/>
      <c r="C51" s="10"/>
      <c r="D51" s="10" t="s">
        <v>280</v>
      </c>
      <c r="E51" s="10"/>
      <c r="F51" s="10" t="s">
        <v>280</v>
      </c>
      <c r="G51" s="33">
        <v>14.37</v>
      </c>
    </row>
    <row r="52" spans="1:8" ht="12.75">
      <c r="A52" s="10" t="s">
        <v>26</v>
      </c>
      <c r="B52" s="10"/>
      <c r="C52" s="10" t="s">
        <v>88</v>
      </c>
      <c r="D52" s="10" t="s">
        <v>160</v>
      </c>
      <c r="E52" s="10" t="s">
        <v>210</v>
      </c>
      <c r="F52" s="10"/>
      <c r="G52" s="33">
        <v>6</v>
      </c>
      <c r="H52" s="56" t="s">
        <v>231</v>
      </c>
    </row>
    <row r="53" spans="1:7" ht="12.75">
      <c r="A53" s="10"/>
      <c r="B53" s="10"/>
      <c r="C53" s="10"/>
      <c r="D53" s="10" t="s">
        <v>12</v>
      </c>
      <c r="E53" s="10"/>
      <c r="F53" s="10" t="s">
        <v>12</v>
      </c>
      <c r="G53" s="33">
        <v>6</v>
      </c>
    </row>
    <row r="54" spans="1:8" ht="12.75">
      <c r="A54" s="10" t="s">
        <v>27</v>
      </c>
      <c r="B54" s="10"/>
      <c r="C54" s="10" t="s">
        <v>89</v>
      </c>
      <c r="D54" s="10" t="s">
        <v>161</v>
      </c>
      <c r="E54" s="10" t="s">
        <v>210</v>
      </c>
      <c r="F54" s="10"/>
      <c r="G54" s="33">
        <v>2</v>
      </c>
      <c r="H54" s="56" t="s">
        <v>231</v>
      </c>
    </row>
    <row r="55" spans="1:7" ht="12.75">
      <c r="A55" s="10"/>
      <c r="B55" s="10"/>
      <c r="C55" s="10"/>
      <c r="D55" s="10" t="s">
        <v>8</v>
      </c>
      <c r="E55" s="10"/>
      <c r="F55" s="10" t="s">
        <v>8</v>
      </c>
      <c r="G55" s="33">
        <v>2</v>
      </c>
    </row>
    <row r="56" spans="1:8" ht="12.75">
      <c r="A56" s="10" t="s">
        <v>28</v>
      </c>
      <c r="B56" s="10"/>
      <c r="C56" s="10" t="s">
        <v>90</v>
      </c>
      <c r="D56" s="10" t="s">
        <v>162</v>
      </c>
      <c r="E56" s="10" t="s">
        <v>210</v>
      </c>
      <c r="F56" s="10"/>
      <c r="G56" s="33">
        <v>1</v>
      </c>
      <c r="H56" s="56" t="s">
        <v>231</v>
      </c>
    </row>
    <row r="57" spans="1:7" ht="12.75">
      <c r="A57" s="10"/>
      <c r="B57" s="10"/>
      <c r="C57" s="10"/>
      <c r="D57" s="10" t="s">
        <v>7</v>
      </c>
      <c r="E57" s="10"/>
      <c r="F57" s="10" t="s">
        <v>7</v>
      </c>
      <c r="G57" s="33">
        <v>1</v>
      </c>
    </row>
    <row r="58" spans="1:8" ht="12.75">
      <c r="A58" s="12" t="s">
        <v>29</v>
      </c>
      <c r="B58" s="12"/>
      <c r="C58" s="12" t="s">
        <v>91</v>
      </c>
      <c r="D58" s="12" t="s">
        <v>163</v>
      </c>
      <c r="E58" s="12" t="s">
        <v>207</v>
      </c>
      <c r="F58" s="12"/>
      <c r="G58" s="34">
        <v>14.37</v>
      </c>
      <c r="H58" s="57" t="s">
        <v>231</v>
      </c>
    </row>
    <row r="59" spans="1:7" ht="12.75">
      <c r="A59" s="12"/>
      <c r="B59" s="12"/>
      <c r="C59" s="12"/>
      <c r="D59" s="12" t="s">
        <v>280</v>
      </c>
      <c r="E59" s="12"/>
      <c r="F59" s="12" t="s">
        <v>280</v>
      </c>
      <c r="G59" s="34">
        <v>14.37</v>
      </c>
    </row>
    <row r="60" spans="1:8" ht="12.75">
      <c r="A60" s="10" t="s">
        <v>30</v>
      </c>
      <c r="B60" s="10"/>
      <c r="C60" s="10" t="s">
        <v>93</v>
      </c>
      <c r="D60" s="10" t="s">
        <v>165</v>
      </c>
      <c r="E60" s="10" t="s">
        <v>211</v>
      </c>
      <c r="F60" s="10"/>
      <c r="G60" s="33">
        <v>100</v>
      </c>
      <c r="H60" s="56" t="s">
        <v>231</v>
      </c>
    </row>
    <row r="61" spans="1:7" ht="12.75">
      <c r="A61" s="10"/>
      <c r="B61" s="10"/>
      <c r="C61" s="10"/>
      <c r="D61" s="10" t="s">
        <v>281</v>
      </c>
      <c r="E61" s="10"/>
      <c r="F61" s="10" t="s">
        <v>281</v>
      </c>
      <c r="G61" s="33">
        <v>100</v>
      </c>
    </row>
    <row r="62" spans="1:8" ht="12.75">
      <c r="A62" s="10" t="s">
        <v>31</v>
      </c>
      <c r="B62" s="10"/>
      <c r="C62" s="10" t="s">
        <v>94</v>
      </c>
      <c r="D62" s="10" t="s">
        <v>166</v>
      </c>
      <c r="E62" s="10" t="s">
        <v>211</v>
      </c>
      <c r="F62" s="10"/>
      <c r="G62" s="33">
        <v>100</v>
      </c>
      <c r="H62" s="56" t="s">
        <v>231</v>
      </c>
    </row>
    <row r="63" spans="1:7" ht="12.75">
      <c r="A63" s="10"/>
      <c r="B63" s="10"/>
      <c r="C63" s="10"/>
      <c r="D63" s="10" t="s">
        <v>281</v>
      </c>
      <c r="E63" s="10"/>
      <c r="F63" s="10" t="s">
        <v>281</v>
      </c>
      <c r="G63" s="33">
        <v>100</v>
      </c>
    </row>
    <row r="64" spans="1:8" ht="12.75">
      <c r="A64" s="10" t="s">
        <v>32</v>
      </c>
      <c r="B64" s="10"/>
      <c r="C64" s="10" t="s">
        <v>94</v>
      </c>
      <c r="D64" s="10" t="s">
        <v>167</v>
      </c>
      <c r="E64" s="10" t="s">
        <v>211</v>
      </c>
      <c r="F64" s="10"/>
      <c r="G64" s="33">
        <v>20</v>
      </c>
      <c r="H64" s="56" t="s">
        <v>231</v>
      </c>
    </row>
    <row r="65" spans="1:7" ht="12.75">
      <c r="A65" s="10"/>
      <c r="B65" s="10"/>
      <c r="C65" s="10"/>
      <c r="D65" s="10" t="s">
        <v>46</v>
      </c>
      <c r="E65" s="10"/>
      <c r="F65" s="10" t="s">
        <v>46</v>
      </c>
      <c r="G65" s="33">
        <v>40</v>
      </c>
    </row>
    <row r="66" spans="1:8" ht="12.75">
      <c r="A66" s="10" t="s">
        <v>33</v>
      </c>
      <c r="B66" s="10"/>
      <c r="C66" s="10" t="s">
        <v>96</v>
      </c>
      <c r="D66" s="10" t="s">
        <v>169</v>
      </c>
      <c r="E66" s="10" t="s">
        <v>206</v>
      </c>
      <c r="F66" s="10"/>
      <c r="G66" s="33">
        <v>2.7</v>
      </c>
      <c r="H66" s="56" t="s">
        <v>231</v>
      </c>
    </row>
    <row r="67" spans="1:7" ht="12.75">
      <c r="A67" s="10"/>
      <c r="B67" s="10"/>
      <c r="C67" s="10"/>
      <c r="D67" s="10" t="s">
        <v>282</v>
      </c>
      <c r="E67" s="10"/>
      <c r="F67" s="10" t="s">
        <v>282</v>
      </c>
      <c r="G67" s="33">
        <v>2.7</v>
      </c>
    </row>
    <row r="68" spans="1:8" ht="12.75">
      <c r="A68" s="10" t="s">
        <v>34</v>
      </c>
      <c r="B68" s="10"/>
      <c r="C68" s="10" t="s">
        <v>97</v>
      </c>
      <c r="D68" s="10" t="s">
        <v>170</v>
      </c>
      <c r="E68" s="10" t="s">
        <v>206</v>
      </c>
      <c r="F68" s="10"/>
      <c r="G68" s="33">
        <v>2.7</v>
      </c>
      <c r="H68" s="56" t="s">
        <v>231</v>
      </c>
    </row>
    <row r="69" spans="1:7" ht="12.75">
      <c r="A69" s="10"/>
      <c r="B69" s="10"/>
      <c r="C69" s="10"/>
      <c r="D69" s="10" t="s">
        <v>282</v>
      </c>
      <c r="E69" s="10"/>
      <c r="F69" s="10" t="s">
        <v>282</v>
      </c>
      <c r="G69" s="33">
        <v>2.7</v>
      </c>
    </row>
    <row r="70" spans="1:8" ht="12.75">
      <c r="A70" s="10" t="s">
        <v>35</v>
      </c>
      <c r="B70" s="10"/>
      <c r="C70" s="10" t="s">
        <v>99</v>
      </c>
      <c r="D70" s="10" t="s">
        <v>172</v>
      </c>
      <c r="E70" s="10" t="s">
        <v>206</v>
      </c>
      <c r="F70" s="10"/>
      <c r="G70" s="33">
        <v>6.64</v>
      </c>
      <c r="H70" s="56" t="s">
        <v>231</v>
      </c>
    </row>
    <row r="71" spans="1:7" ht="12.75">
      <c r="A71" s="10"/>
      <c r="B71" s="10"/>
      <c r="C71" s="10"/>
      <c r="D71" s="10"/>
      <c r="E71" s="10"/>
      <c r="F71" s="10"/>
      <c r="G71" s="33">
        <v>0</v>
      </c>
    </row>
    <row r="72" spans="1:7" ht="12.75">
      <c r="A72" s="10"/>
      <c r="B72" s="10"/>
      <c r="C72" s="10"/>
      <c r="D72" s="10" t="s">
        <v>273</v>
      </c>
      <c r="E72" s="10"/>
      <c r="F72" s="10" t="s">
        <v>273</v>
      </c>
      <c r="G72" s="33">
        <v>4.28</v>
      </c>
    </row>
    <row r="73" spans="1:7" ht="12.75">
      <c r="A73" s="10"/>
      <c r="B73" s="10"/>
      <c r="C73" s="10"/>
      <c r="D73" s="10" t="s">
        <v>274</v>
      </c>
      <c r="E73" s="10"/>
      <c r="F73" s="10" t="s">
        <v>274</v>
      </c>
      <c r="G73" s="33">
        <v>2.36</v>
      </c>
    </row>
    <row r="74" spans="1:8" ht="12.75">
      <c r="A74" s="10" t="s">
        <v>36</v>
      </c>
      <c r="B74" s="10"/>
      <c r="C74" s="10" t="s">
        <v>101</v>
      </c>
      <c r="D74" s="10" t="s">
        <v>174</v>
      </c>
      <c r="E74" s="10" t="s">
        <v>207</v>
      </c>
      <c r="F74" s="10"/>
      <c r="G74" s="33">
        <v>64.31</v>
      </c>
      <c r="H74" s="56" t="s">
        <v>231</v>
      </c>
    </row>
    <row r="75" spans="1:7" ht="12.75">
      <c r="A75" s="10"/>
      <c r="B75" s="10"/>
      <c r="C75" s="10"/>
      <c r="D75" s="10" t="s">
        <v>283</v>
      </c>
      <c r="E75" s="10"/>
      <c r="F75" s="10" t="s">
        <v>283</v>
      </c>
      <c r="G75" s="33">
        <v>64.31</v>
      </c>
    </row>
    <row r="76" spans="1:8" ht="12.75">
      <c r="A76" s="10" t="s">
        <v>37</v>
      </c>
      <c r="B76" s="10"/>
      <c r="C76" s="10" t="s">
        <v>103</v>
      </c>
      <c r="D76" s="10" t="s">
        <v>176</v>
      </c>
      <c r="E76" s="10" t="s">
        <v>206</v>
      </c>
      <c r="F76" s="10"/>
      <c r="G76" s="33">
        <v>23.85</v>
      </c>
      <c r="H76" s="56" t="s">
        <v>231</v>
      </c>
    </row>
    <row r="77" spans="1:7" ht="12.75">
      <c r="A77" s="10"/>
      <c r="B77" s="10"/>
      <c r="C77" s="10"/>
      <c r="D77" s="10" t="s">
        <v>284</v>
      </c>
      <c r="E77" s="10"/>
      <c r="F77" s="10" t="s">
        <v>284</v>
      </c>
      <c r="G77" s="33">
        <v>23.85</v>
      </c>
    </row>
    <row r="78" spans="1:8" ht="12.75">
      <c r="A78" s="10" t="s">
        <v>38</v>
      </c>
      <c r="B78" s="10"/>
      <c r="C78" s="10" t="s">
        <v>104</v>
      </c>
      <c r="D78" s="10" t="s">
        <v>177</v>
      </c>
      <c r="E78" s="10" t="s">
        <v>210</v>
      </c>
      <c r="F78" s="10"/>
      <c r="G78" s="33">
        <v>4</v>
      </c>
      <c r="H78" s="56" t="s">
        <v>231</v>
      </c>
    </row>
    <row r="79" spans="1:7" ht="12.75">
      <c r="A79" s="10"/>
      <c r="B79" s="10"/>
      <c r="C79" s="10"/>
      <c r="D79" s="10" t="s">
        <v>285</v>
      </c>
      <c r="E79" s="10"/>
      <c r="F79" s="10" t="s">
        <v>285</v>
      </c>
      <c r="G79" s="33">
        <v>4</v>
      </c>
    </row>
    <row r="80" spans="1:8" ht="12.75">
      <c r="A80" s="10" t="s">
        <v>39</v>
      </c>
      <c r="B80" s="10"/>
      <c r="C80" s="10" t="s">
        <v>105</v>
      </c>
      <c r="D80" s="10" t="s">
        <v>178</v>
      </c>
      <c r="E80" s="10" t="s">
        <v>206</v>
      </c>
      <c r="F80" s="10"/>
      <c r="G80" s="33">
        <v>3.7</v>
      </c>
      <c r="H80" s="56" t="s">
        <v>231</v>
      </c>
    </row>
    <row r="81" spans="1:7" ht="12.75">
      <c r="A81" s="10"/>
      <c r="B81" s="10"/>
      <c r="C81" s="10"/>
      <c r="D81" s="10" t="s">
        <v>286</v>
      </c>
      <c r="E81" s="10"/>
      <c r="F81" s="10" t="s">
        <v>286</v>
      </c>
      <c r="G81" s="33">
        <v>3.7</v>
      </c>
    </row>
    <row r="82" spans="1:8" ht="12.75">
      <c r="A82" s="10" t="s">
        <v>40</v>
      </c>
      <c r="B82" s="10"/>
      <c r="C82" s="10" t="s">
        <v>106</v>
      </c>
      <c r="D82" s="10" t="s">
        <v>179</v>
      </c>
      <c r="E82" s="10" t="s">
        <v>210</v>
      </c>
      <c r="F82" s="10"/>
      <c r="G82" s="33">
        <v>3</v>
      </c>
      <c r="H82" s="56" t="s">
        <v>231</v>
      </c>
    </row>
    <row r="83" spans="1:7" ht="12.75">
      <c r="A83" s="10"/>
      <c r="B83" s="10"/>
      <c r="C83" s="10"/>
      <c r="D83" s="10" t="s">
        <v>287</v>
      </c>
      <c r="E83" s="10"/>
      <c r="F83" s="10" t="s">
        <v>287</v>
      </c>
      <c r="G83" s="33">
        <v>3</v>
      </c>
    </row>
    <row r="84" spans="1:8" ht="12.75">
      <c r="A84" s="10" t="s">
        <v>41</v>
      </c>
      <c r="B84" s="10"/>
      <c r="C84" s="10" t="s">
        <v>107</v>
      </c>
      <c r="D84" s="10" t="s">
        <v>180</v>
      </c>
      <c r="E84" s="10" t="s">
        <v>206</v>
      </c>
      <c r="F84" s="10"/>
      <c r="G84" s="33">
        <v>4.5</v>
      </c>
      <c r="H84" s="56" t="s">
        <v>231</v>
      </c>
    </row>
    <row r="85" spans="1:7" ht="12.75">
      <c r="A85" s="10"/>
      <c r="B85" s="10"/>
      <c r="C85" s="10"/>
      <c r="D85" s="10" t="s">
        <v>288</v>
      </c>
      <c r="E85" s="10"/>
      <c r="F85" s="10" t="s">
        <v>288</v>
      </c>
      <c r="G85" s="33">
        <v>4.5</v>
      </c>
    </row>
    <row r="86" spans="1:8" ht="12.75">
      <c r="A86" s="10" t="s">
        <v>42</v>
      </c>
      <c r="B86" s="10"/>
      <c r="C86" s="10" t="s">
        <v>108</v>
      </c>
      <c r="D86" s="10" t="s">
        <v>181</v>
      </c>
      <c r="E86" s="10" t="s">
        <v>207</v>
      </c>
      <c r="F86" s="10"/>
      <c r="G86" s="33">
        <v>5.2</v>
      </c>
      <c r="H86" s="56" t="s">
        <v>231</v>
      </c>
    </row>
    <row r="87" spans="1:7" ht="12.75">
      <c r="A87" s="10"/>
      <c r="B87" s="10"/>
      <c r="C87" s="10"/>
      <c r="D87" s="10" t="s">
        <v>279</v>
      </c>
      <c r="E87" s="10"/>
      <c r="F87" s="10" t="s">
        <v>279</v>
      </c>
      <c r="G87" s="33">
        <v>5.2</v>
      </c>
    </row>
    <row r="88" spans="1:8" ht="12.75">
      <c r="A88" s="10" t="s">
        <v>43</v>
      </c>
      <c r="B88" s="10"/>
      <c r="C88" s="10" t="s">
        <v>110</v>
      </c>
      <c r="D88" s="10" t="s">
        <v>183</v>
      </c>
      <c r="E88" s="10" t="s">
        <v>208</v>
      </c>
      <c r="F88" s="10"/>
      <c r="G88" s="33">
        <v>1.25</v>
      </c>
      <c r="H88" s="56" t="s">
        <v>231</v>
      </c>
    </row>
    <row r="89" spans="1:7" ht="12.75">
      <c r="A89" s="10"/>
      <c r="B89" s="10"/>
      <c r="C89" s="10"/>
      <c r="D89" s="10" t="s">
        <v>289</v>
      </c>
      <c r="E89" s="10"/>
      <c r="F89" s="10" t="s">
        <v>289</v>
      </c>
      <c r="G89" s="33">
        <v>1.25</v>
      </c>
    </row>
    <row r="90" spans="1:8" ht="12.75">
      <c r="A90" s="10" t="s">
        <v>44</v>
      </c>
      <c r="B90" s="10"/>
      <c r="C90" s="10" t="s">
        <v>112</v>
      </c>
      <c r="D90" s="10" t="s">
        <v>185</v>
      </c>
      <c r="E90" s="10" t="s">
        <v>212</v>
      </c>
      <c r="F90" s="10"/>
      <c r="G90" s="33">
        <v>19.38</v>
      </c>
      <c r="H90" s="56" t="s">
        <v>231</v>
      </c>
    </row>
    <row r="91" spans="1:7" ht="12.75">
      <c r="A91" s="10"/>
      <c r="B91" s="10"/>
      <c r="C91" s="10"/>
      <c r="D91" s="10" t="s">
        <v>290</v>
      </c>
      <c r="E91" s="10"/>
      <c r="F91" s="10" t="s">
        <v>290</v>
      </c>
      <c r="G91" s="33">
        <v>19.38</v>
      </c>
    </row>
    <row r="92" spans="1:8" ht="12.75">
      <c r="A92" s="10" t="s">
        <v>45</v>
      </c>
      <c r="B92" s="10"/>
      <c r="C92" s="10" t="s">
        <v>113</v>
      </c>
      <c r="D92" s="10" t="s">
        <v>186</v>
      </c>
      <c r="E92" s="10" t="s">
        <v>212</v>
      </c>
      <c r="F92" s="10"/>
      <c r="G92" s="33">
        <v>19.38</v>
      </c>
      <c r="H92" s="56" t="s">
        <v>231</v>
      </c>
    </row>
    <row r="93" spans="1:7" ht="12.75">
      <c r="A93" s="10"/>
      <c r="B93" s="10"/>
      <c r="C93" s="10"/>
      <c r="D93" s="10" t="s">
        <v>290</v>
      </c>
      <c r="E93" s="10"/>
      <c r="F93" s="10" t="s">
        <v>290</v>
      </c>
      <c r="G93" s="33">
        <v>19.38</v>
      </c>
    </row>
    <row r="94" spans="1:8" ht="12.75">
      <c r="A94" s="10" t="s">
        <v>46</v>
      </c>
      <c r="B94" s="10"/>
      <c r="C94" s="10" t="s">
        <v>114</v>
      </c>
      <c r="D94" s="10" t="s">
        <v>187</v>
      </c>
      <c r="E94" s="10" t="s">
        <v>212</v>
      </c>
      <c r="F94" s="10"/>
      <c r="G94" s="33">
        <v>19.36</v>
      </c>
      <c r="H94" s="56" t="s">
        <v>231</v>
      </c>
    </row>
    <row r="95" spans="1:7" ht="12.75">
      <c r="A95" s="10"/>
      <c r="B95" s="10"/>
      <c r="C95" s="10"/>
      <c r="D95" s="10" t="s">
        <v>291</v>
      </c>
      <c r="E95" s="10"/>
      <c r="F95" s="10" t="s">
        <v>291</v>
      </c>
      <c r="G95" s="33">
        <v>19.36</v>
      </c>
    </row>
    <row r="96" spans="1:8" ht="12.75">
      <c r="A96" s="10" t="s">
        <v>47</v>
      </c>
      <c r="B96" s="10"/>
      <c r="C96" s="10" t="s">
        <v>115</v>
      </c>
      <c r="D96" s="10" t="s">
        <v>188</v>
      </c>
      <c r="E96" s="10" t="s">
        <v>212</v>
      </c>
      <c r="F96" s="10"/>
      <c r="G96" s="33">
        <v>19.38</v>
      </c>
      <c r="H96" s="56" t="s">
        <v>231</v>
      </c>
    </row>
    <row r="97" spans="1:7" ht="12.75">
      <c r="A97" s="10"/>
      <c r="B97" s="10"/>
      <c r="C97" s="10"/>
      <c r="D97" s="10" t="s">
        <v>290</v>
      </c>
      <c r="E97" s="10"/>
      <c r="F97" s="10" t="s">
        <v>290</v>
      </c>
      <c r="G97" s="33">
        <v>19.38</v>
      </c>
    </row>
    <row r="98" spans="1:8" ht="12.75">
      <c r="A98" s="12" t="s">
        <v>48</v>
      </c>
      <c r="B98" s="12"/>
      <c r="C98" s="12" t="s">
        <v>116</v>
      </c>
      <c r="D98" s="12" t="s">
        <v>190</v>
      </c>
      <c r="E98" s="12" t="s">
        <v>210</v>
      </c>
      <c r="F98" s="12"/>
      <c r="G98" s="34">
        <v>1</v>
      </c>
      <c r="H98" s="57"/>
    </row>
    <row r="99" spans="1:7" ht="12.75">
      <c r="A99" s="12"/>
      <c r="B99" s="12"/>
      <c r="C99" s="12"/>
      <c r="D99" s="12" t="s">
        <v>292</v>
      </c>
      <c r="E99" s="12"/>
      <c r="F99" s="12" t="s">
        <v>292</v>
      </c>
      <c r="G99" s="34">
        <v>1</v>
      </c>
    </row>
    <row r="100" spans="1:8" ht="12.75">
      <c r="A100" s="12" t="s">
        <v>49</v>
      </c>
      <c r="B100" s="12"/>
      <c r="C100" s="12" t="s">
        <v>116</v>
      </c>
      <c r="D100" s="12" t="s">
        <v>191</v>
      </c>
      <c r="E100" s="12" t="s">
        <v>210</v>
      </c>
      <c r="F100" s="12"/>
      <c r="G100" s="34">
        <v>1</v>
      </c>
      <c r="H100" s="57"/>
    </row>
    <row r="101" spans="1:7" ht="12.75">
      <c r="A101" s="12"/>
      <c r="B101" s="12"/>
      <c r="C101" s="12"/>
      <c r="D101" s="12" t="s">
        <v>293</v>
      </c>
      <c r="E101" s="12"/>
      <c r="F101" s="12" t="s">
        <v>293</v>
      </c>
      <c r="G101" s="34">
        <v>1</v>
      </c>
    </row>
    <row r="102" spans="1:8" ht="12.75">
      <c r="A102" s="12" t="s">
        <v>50</v>
      </c>
      <c r="B102" s="12"/>
      <c r="C102" s="12" t="s">
        <v>116</v>
      </c>
      <c r="D102" s="12" t="s">
        <v>192</v>
      </c>
      <c r="E102" s="12" t="s">
        <v>210</v>
      </c>
      <c r="F102" s="12"/>
      <c r="G102" s="34">
        <v>1</v>
      </c>
      <c r="H102" s="57"/>
    </row>
    <row r="103" spans="1:7" ht="12.75">
      <c r="A103" s="12"/>
      <c r="B103" s="12"/>
      <c r="C103" s="12"/>
      <c r="D103" s="12" t="s">
        <v>294</v>
      </c>
      <c r="E103" s="12"/>
      <c r="F103" s="12" t="s">
        <v>294</v>
      </c>
      <c r="G103" s="34">
        <v>1</v>
      </c>
    </row>
    <row r="104" spans="1:8" ht="12.75">
      <c r="A104" s="12" t="s">
        <v>51</v>
      </c>
      <c r="B104" s="12"/>
      <c r="C104" s="12" t="s">
        <v>116</v>
      </c>
      <c r="D104" s="12" t="s">
        <v>193</v>
      </c>
      <c r="E104" s="12" t="s">
        <v>210</v>
      </c>
      <c r="F104" s="12"/>
      <c r="G104" s="34">
        <v>1</v>
      </c>
      <c r="H104" s="57"/>
    </row>
    <row r="105" spans="1:7" ht="12.75">
      <c r="A105" s="12"/>
      <c r="B105" s="12"/>
      <c r="C105" s="12"/>
      <c r="D105" s="12" t="s">
        <v>7</v>
      </c>
      <c r="E105" s="12"/>
      <c r="F105" s="12" t="s">
        <v>7</v>
      </c>
      <c r="G105" s="34">
        <v>1</v>
      </c>
    </row>
    <row r="106" spans="1:8" ht="12.75">
      <c r="A106" s="12" t="s">
        <v>52</v>
      </c>
      <c r="B106" s="12"/>
      <c r="C106" s="12" t="s">
        <v>117</v>
      </c>
      <c r="D106" s="12" t="s">
        <v>194</v>
      </c>
      <c r="E106" s="12" t="s">
        <v>210</v>
      </c>
      <c r="F106" s="12"/>
      <c r="G106" s="34">
        <v>2</v>
      </c>
      <c r="H106" s="57"/>
    </row>
    <row r="107" spans="1:7" ht="12.75">
      <c r="A107" s="12"/>
      <c r="B107" s="12"/>
      <c r="C107" s="12"/>
      <c r="D107" s="12" t="s">
        <v>295</v>
      </c>
      <c r="E107" s="12"/>
      <c r="F107" s="12" t="s">
        <v>295</v>
      </c>
      <c r="G107" s="34">
        <v>2</v>
      </c>
    </row>
    <row r="108" spans="1:8" ht="12.75">
      <c r="A108" s="12" t="s">
        <v>53</v>
      </c>
      <c r="B108" s="12"/>
      <c r="C108" s="12" t="s">
        <v>118</v>
      </c>
      <c r="D108" s="12" t="s">
        <v>195</v>
      </c>
      <c r="E108" s="12" t="s">
        <v>210</v>
      </c>
      <c r="F108" s="12"/>
      <c r="G108" s="34">
        <v>2</v>
      </c>
      <c r="H108" s="57" t="s">
        <v>231</v>
      </c>
    </row>
    <row r="109" spans="1:7" ht="12.75">
      <c r="A109" s="12"/>
      <c r="B109" s="12"/>
      <c r="C109" s="12"/>
      <c r="D109" s="12" t="s">
        <v>296</v>
      </c>
      <c r="E109" s="12"/>
      <c r="F109" s="12" t="s">
        <v>296</v>
      </c>
      <c r="G109" s="34">
        <v>2</v>
      </c>
    </row>
    <row r="110" spans="1:8" ht="12.75">
      <c r="A110" s="12" t="s">
        <v>54</v>
      </c>
      <c r="B110" s="12"/>
      <c r="C110" s="12" t="s">
        <v>119</v>
      </c>
      <c r="D110" s="12" t="s">
        <v>196</v>
      </c>
      <c r="E110" s="12" t="s">
        <v>210</v>
      </c>
      <c r="F110" s="12"/>
      <c r="G110" s="34">
        <v>1</v>
      </c>
      <c r="H110" s="57" t="s">
        <v>231</v>
      </c>
    </row>
    <row r="111" spans="1:7" ht="12.75">
      <c r="A111" s="12"/>
      <c r="B111" s="12"/>
      <c r="C111" s="12"/>
      <c r="D111" s="12" t="s">
        <v>7</v>
      </c>
      <c r="E111" s="12"/>
      <c r="F111" s="12" t="s">
        <v>7</v>
      </c>
      <c r="G111" s="34">
        <v>1</v>
      </c>
    </row>
    <row r="112" spans="1:8" ht="12.75">
      <c r="A112" s="12" t="s">
        <v>55</v>
      </c>
      <c r="B112" s="12"/>
      <c r="C112" s="12" t="s">
        <v>120</v>
      </c>
      <c r="D112" s="12" t="s">
        <v>197</v>
      </c>
      <c r="E112" s="12" t="s">
        <v>207</v>
      </c>
      <c r="F112" s="12"/>
      <c r="G112" s="34">
        <v>113.48</v>
      </c>
      <c r="H112" s="57" t="s">
        <v>231</v>
      </c>
    </row>
    <row r="113" spans="1:7" ht="12.75">
      <c r="A113" s="12"/>
      <c r="B113" s="12"/>
      <c r="C113" s="12"/>
      <c r="D113" s="12" t="s">
        <v>297</v>
      </c>
      <c r="E113" s="12"/>
      <c r="F113" s="12" t="s">
        <v>297</v>
      </c>
      <c r="G113" s="34">
        <v>56.74</v>
      </c>
    </row>
    <row r="114" spans="1:7" ht="12.75">
      <c r="A114" s="12"/>
      <c r="B114" s="12"/>
      <c r="C114" s="12"/>
      <c r="D114" s="12" t="s">
        <v>298</v>
      </c>
      <c r="E114" s="12"/>
      <c r="F114" s="12" t="s">
        <v>298</v>
      </c>
      <c r="G114" s="34">
        <v>56.74</v>
      </c>
    </row>
    <row r="115" spans="1:8" ht="12.75">
      <c r="A115" s="12" t="s">
        <v>56</v>
      </c>
      <c r="B115" s="12"/>
      <c r="C115" s="12" t="s">
        <v>121</v>
      </c>
      <c r="D115" s="12" t="s">
        <v>198</v>
      </c>
      <c r="E115" s="12" t="s">
        <v>210</v>
      </c>
      <c r="F115" s="12"/>
      <c r="G115" s="34">
        <v>64.31</v>
      </c>
      <c r="H115" s="57" t="s">
        <v>231</v>
      </c>
    </row>
    <row r="116" spans="1:7" ht="12.75">
      <c r="A116" s="12"/>
      <c r="B116" s="12"/>
      <c r="C116" s="12"/>
      <c r="D116" s="12" t="s">
        <v>283</v>
      </c>
      <c r="E116" s="12"/>
      <c r="F116" s="12" t="s">
        <v>283</v>
      </c>
      <c r="G116" s="34">
        <v>64.31</v>
      </c>
    </row>
    <row r="117" spans="1:8" ht="12.75">
      <c r="A117" s="12" t="s">
        <v>57</v>
      </c>
      <c r="B117" s="12"/>
      <c r="C117" s="12" t="s">
        <v>122</v>
      </c>
      <c r="D117" s="12" t="s">
        <v>199</v>
      </c>
      <c r="E117" s="12" t="s">
        <v>206</v>
      </c>
      <c r="F117" s="12"/>
      <c r="G117" s="34">
        <v>9.63</v>
      </c>
      <c r="H117" s="57" t="s">
        <v>231</v>
      </c>
    </row>
    <row r="118" spans="1:7" ht="12.75">
      <c r="A118" s="12"/>
      <c r="B118" s="12"/>
      <c r="C118" s="12"/>
      <c r="D118" s="12" t="s">
        <v>271</v>
      </c>
      <c r="E118" s="12"/>
      <c r="F118" s="12" t="s">
        <v>271</v>
      </c>
      <c r="G118" s="34">
        <v>9.63</v>
      </c>
    </row>
    <row r="119" spans="1:8" ht="12.75">
      <c r="A119" s="12" t="s">
        <v>58</v>
      </c>
      <c r="B119" s="12"/>
      <c r="C119" s="12" t="s">
        <v>123</v>
      </c>
      <c r="D119" s="12" t="s">
        <v>200</v>
      </c>
      <c r="E119" s="12" t="s">
        <v>208</v>
      </c>
      <c r="F119" s="12"/>
      <c r="G119" s="34">
        <v>1.44</v>
      </c>
      <c r="H119" s="57" t="s">
        <v>231</v>
      </c>
    </row>
    <row r="120" spans="1:7" ht="12.75">
      <c r="A120" s="12"/>
      <c r="B120" s="12"/>
      <c r="C120" s="12"/>
      <c r="D120" s="12" t="s">
        <v>299</v>
      </c>
      <c r="E120" s="12"/>
      <c r="F120" s="12" t="s">
        <v>299</v>
      </c>
      <c r="G120" s="34">
        <v>1.44</v>
      </c>
    </row>
  </sheetData>
  <mergeCells count="17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A6:B7"/>
    <mergeCell ref="C6:D7"/>
    <mergeCell ref="E6:E7"/>
    <mergeCell ref="F6:H7"/>
    <mergeCell ref="A8:B9"/>
    <mergeCell ref="C8:D9"/>
    <mergeCell ref="E8:E9"/>
    <mergeCell ref="F8:H9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 topLeftCell="A1">
      <selection activeCell="A1" sqref="A1"/>
    </sheetView>
  </sheetViews>
  <sheetFormatPr defaultColWidth="11.57421875" defaultRowHeight="12.75"/>
  <cols>
    <col min="1" max="1" width="9.140625" customWidth="1"/>
    <col min="2" max="2" width="12.8515625" customWidth="1"/>
    <col min="3" max="3" width="22.8515625" customWidth="1"/>
    <col min="4" max="4" width="10.00390625" customWidth="1"/>
    <col min="5" max="5" width="14.00390625" customWidth="1"/>
    <col min="6" max="6" width="22.8515625" customWidth="1"/>
    <col min="7" max="7" width="9.140625" customWidth="1"/>
    <col min="8" max="8" width="12.8515625" customWidth="1"/>
    <col min="9" max="9" width="22.8515625" customWidth="1"/>
  </cols>
  <sheetData>
    <row r="1" spans="1:9" ht="28.5" customHeight="1">
      <c r="A1" s="80" t="s">
        <v>301</v>
      </c>
      <c r="B1" s="94"/>
      <c r="C1" s="94"/>
      <c r="D1" s="94"/>
      <c r="E1" s="94"/>
      <c r="F1" s="94"/>
      <c r="G1" s="94"/>
      <c r="H1" s="94"/>
      <c r="I1" s="94"/>
    </row>
    <row r="2" spans="1:10" ht="12.75">
      <c r="A2" s="3" t="s">
        <v>1</v>
      </c>
      <c r="B2" s="18"/>
      <c r="C2" s="25" t="s">
        <v>124</v>
      </c>
      <c r="D2" s="46"/>
      <c r="E2" s="43" t="s">
        <v>219</v>
      </c>
      <c r="F2" s="43" t="s">
        <v>224</v>
      </c>
      <c r="G2" s="18"/>
      <c r="H2" s="43" t="s">
        <v>336</v>
      </c>
      <c r="I2" s="114" t="s">
        <v>340</v>
      </c>
      <c r="J2" s="59"/>
    </row>
    <row r="3" spans="1:10" ht="12.75">
      <c r="A3" s="4"/>
      <c r="B3" s="19"/>
      <c r="C3" s="26"/>
      <c r="D3" s="26"/>
      <c r="E3" s="19"/>
      <c r="F3" s="19"/>
      <c r="G3" s="19"/>
      <c r="H3" s="19"/>
      <c r="I3" s="52"/>
      <c r="J3" s="59"/>
    </row>
    <row r="4" spans="1:10" ht="12.75">
      <c r="A4" s="5" t="s">
        <v>2</v>
      </c>
      <c r="B4" s="19"/>
      <c r="C4" s="16"/>
      <c r="D4" s="19"/>
      <c r="E4" s="16" t="s">
        <v>220</v>
      </c>
      <c r="F4" s="16" t="s">
        <v>225</v>
      </c>
      <c r="G4" s="19"/>
      <c r="H4" s="16" t="s">
        <v>336</v>
      </c>
      <c r="I4" s="115" t="s">
        <v>341</v>
      </c>
      <c r="J4" s="59"/>
    </row>
    <row r="5" spans="1:10" ht="12.75">
      <c r="A5" s="4"/>
      <c r="B5" s="19"/>
      <c r="C5" s="19"/>
      <c r="D5" s="19"/>
      <c r="E5" s="19"/>
      <c r="F5" s="19"/>
      <c r="G5" s="19"/>
      <c r="H5" s="19"/>
      <c r="I5" s="52"/>
      <c r="J5" s="59"/>
    </row>
    <row r="6" spans="1:10" ht="12.75">
      <c r="A6" s="5" t="s">
        <v>3</v>
      </c>
      <c r="B6" s="19"/>
      <c r="C6" s="16" t="s">
        <v>125</v>
      </c>
      <c r="D6" s="19"/>
      <c r="E6" s="16" t="s">
        <v>221</v>
      </c>
      <c r="F6" s="16"/>
      <c r="G6" s="19"/>
      <c r="H6" s="16" t="s">
        <v>336</v>
      </c>
      <c r="I6" s="115"/>
      <c r="J6" s="59"/>
    </row>
    <row r="7" spans="1:10" ht="12.75">
      <c r="A7" s="4"/>
      <c r="B7" s="19"/>
      <c r="C7" s="19"/>
      <c r="D7" s="19"/>
      <c r="E7" s="19"/>
      <c r="F7" s="19"/>
      <c r="G7" s="19"/>
      <c r="H7" s="19"/>
      <c r="I7" s="52"/>
      <c r="J7" s="59"/>
    </row>
    <row r="8" spans="1:10" ht="12.75">
      <c r="A8" s="5" t="s">
        <v>202</v>
      </c>
      <c r="B8" s="19"/>
      <c r="C8" s="36">
        <v>42339</v>
      </c>
      <c r="D8" s="19"/>
      <c r="E8" s="16" t="s">
        <v>203</v>
      </c>
      <c r="F8" s="19"/>
      <c r="G8" s="19"/>
      <c r="H8" s="29" t="s">
        <v>337</v>
      </c>
      <c r="I8" s="115" t="s">
        <v>58</v>
      </c>
      <c r="J8" s="59"/>
    </row>
    <row r="9" spans="1:10" ht="12.75">
      <c r="A9" s="4"/>
      <c r="B9" s="19"/>
      <c r="C9" s="19"/>
      <c r="D9" s="19"/>
      <c r="E9" s="19"/>
      <c r="F9" s="19"/>
      <c r="G9" s="19"/>
      <c r="H9" s="19"/>
      <c r="I9" s="52"/>
      <c r="J9" s="59"/>
    </row>
    <row r="10" spans="1:10" ht="12.75">
      <c r="A10" s="5" t="s">
        <v>4</v>
      </c>
      <c r="B10" s="19"/>
      <c r="C10" s="16">
        <v>801</v>
      </c>
      <c r="D10" s="19"/>
      <c r="E10" s="16" t="s">
        <v>222</v>
      </c>
      <c r="F10" s="16" t="s">
        <v>226</v>
      </c>
      <c r="G10" s="19"/>
      <c r="H10" s="29" t="s">
        <v>338</v>
      </c>
      <c r="I10" s="116">
        <v>42150</v>
      </c>
      <c r="J10" s="59"/>
    </row>
    <row r="11" spans="1:10" ht="12.75">
      <c r="A11" s="81"/>
      <c r="B11" s="95"/>
      <c r="C11" s="95"/>
      <c r="D11" s="95"/>
      <c r="E11" s="95"/>
      <c r="F11" s="95"/>
      <c r="G11" s="95"/>
      <c r="H11" s="95"/>
      <c r="I11" s="117"/>
      <c r="J11" s="59"/>
    </row>
    <row r="12" spans="1:9" ht="23.25" customHeight="1">
      <c r="A12" s="82" t="s">
        <v>302</v>
      </c>
      <c r="B12" s="96"/>
      <c r="C12" s="96"/>
      <c r="D12" s="96"/>
      <c r="E12" s="96"/>
      <c r="F12" s="96"/>
      <c r="G12" s="96"/>
      <c r="H12" s="96"/>
      <c r="I12" s="96"/>
    </row>
    <row r="13" spans="1:10" ht="26.25" customHeight="1">
      <c r="A13" s="83" t="s">
        <v>303</v>
      </c>
      <c r="B13" s="97" t="s">
        <v>314</v>
      </c>
      <c r="C13" s="104"/>
      <c r="D13" s="83" t="s">
        <v>316</v>
      </c>
      <c r="E13" s="97" t="s">
        <v>324</v>
      </c>
      <c r="F13" s="104"/>
      <c r="G13" s="83" t="s">
        <v>325</v>
      </c>
      <c r="H13" s="97" t="s">
        <v>339</v>
      </c>
      <c r="I13" s="104"/>
      <c r="J13" s="59"/>
    </row>
    <row r="14" spans="1:10" ht="15" customHeight="1">
      <c r="A14" s="84" t="s">
        <v>304</v>
      </c>
      <c r="B14" s="98" t="s">
        <v>315</v>
      </c>
      <c r="C14" s="105"/>
      <c r="D14" s="110" t="s">
        <v>317</v>
      </c>
      <c r="E14" s="112"/>
      <c r="F14" s="105"/>
      <c r="G14" s="110" t="s">
        <v>326</v>
      </c>
      <c r="H14" s="112"/>
      <c r="I14" s="105"/>
      <c r="J14" s="59"/>
    </row>
    <row r="15" spans="1:10" ht="15" customHeight="1">
      <c r="A15" s="85"/>
      <c r="B15" s="98" t="s">
        <v>223</v>
      </c>
      <c r="C15" s="105"/>
      <c r="D15" s="110" t="s">
        <v>318</v>
      </c>
      <c r="E15" s="112"/>
      <c r="F15" s="105"/>
      <c r="G15" s="110" t="s">
        <v>327</v>
      </c>
      <c r="H15" s="112"/>
      <c r="I15" s="105"/>
      <c r="J15" s="59"/>
    </row>
    <row r="16" spans="1:10" ht="15" customHeight="1">
      <c r="A16" s="84" t="s">
        <v>305</v>
      </c>
      <c r="B16" s="98" t="s">
        <v>315</v>
      </c>
      <c r="C16" s="105"/>
      <c r="D16" s="110" t="s">
        <v>319</v>
      </c>
      <c r="E16" s="112"/>
      <c r="F16" s="105"/>
      <c r="G16" s="110" t="s">
        <v>328</v>
      </c>
      <c r="H16" s="112"/>
      <c r="I16" s="105"/>
      <c r="J16" s="59"/>
    </row>
    <row r="17" spans="1:10" ht="15" customHeight="1">
      <c r="A17" s="85"/>
      <c r="B17" s="98" t="s">
        <v>223</v>
      </c>
      <c r="C17" s="105"/>
      <c r="D17" s="110"/>
      <c r="E17" s="112"/>
      <c r="F17" s="113"/>
      <c r="G17" s="110" t="s">
        <v>329</v>
      </c>
      <c r="H17" s="112"/>
      <c r="I17" s="105"/>
      <c r="J17" s="59"/>
    </row>
    <row r="18" spans="1:10" ht="15" customHeight="1">
      <c r="A18" s="84" t="s">
        <v>306</v>
      </c>
      <c r="B18" s="98" t="s">
        <v>315</v>
      </c>
      <c r="C18" s="105"/>
      <c r="D18" s="110"/>
      <c r="E18" s="112"/>
      <c r="F18" s="113"/>
      <c r="G18" s="110" t="s">
        <v>330</v>
      </c>
      <c r="H18" s="112"/>
      <c r="I18" s="105"/>
      <c r="J18" s="59"/>
    </row>
    <row r="19" spans="1:10" ht="15" customHeight="1">
      <c r="A19" s="85"/>
      <c r="B19" s="98" t="s">
        <v>223</v>
      </c>
      <c r="C19" s="105"/>
      <c r="D19" s="110"/>
      <c r="E19" s="112"/>
      <c r="F19" s="113"/>
      <c r="G19" s="110" t="s">
        <v>331</v>
      </c>
      <c r="H19" s="112"/>
      <c r="I19" s="105"/>
      <c r="J19" s="59"/>
    </row>
    <row r="20" spans="1:10" ht="15" customHeight="1">
      <c r="A20" s="86" t="s">
        <v>189</v>
      </c>
      <c r="B20" s="99"/>
      <c r="C20" s="105"/>
      <c r="D20" s="110"/>
      <c r="E20" s="112"/>
      <c r="F20" s="113"/>
      <c r="G20" s="110"/>
      <c r="H20" s="112"/>
      <c r="I20" s="113"/>
      <c r="J20" s="59"/>
    </row>
    <row r="21" spans="1:10" ht="15" customHeight="1">
      <c r="A21" s="86" t="s">
        <v>307</v>
      </c>
      <c r="B21" s="99"/>
      <c r="C21" s="105"/>
      <c r="D21" s="110"/>
      <c r="E21" s="112"/>
      <c r="F21" s="113"/>
      <c r="G21" s="110"/>
      <c r="H21" s="112"/>
      <c r="I21" s="113"/>
      <c r="J21" s="59"/>
    </row>
    <row r="22" spans="1:10" ht="16.5" customHeight="1">
      <c r="A22" s="86" t="s">
        <v>308</v>
      </c>
      <c r="B22" s="99"/>
      <c r="C22" s="105"/>
      <c r="D22" s="86" t="s">
        <v>320</v>
      </c>
      <c r="E22" s="99"/>
      <c r="F22" s="105"/>
      <c r="G22" s="86" t="s">
        <v>332</v>
      </c>
      <c r="H22" s="99"/>
      <c r="I22" s="105"/>
      <c r="J22" s="59"/>
    </row>
    <row r="23" spans="1:9" ht="12.75">
      <c r="A23" s="87"/>
      <c r="B23" s="87"/>
      <c r="C23" s="87"/>
      <c r="D23" s="14"/>
      <c r="E23" s="14"/>
      <c r="F23" s="14"/>
      <c r="G23" s="14"/>
      <c r="H23" s="14"/>
      <c r="I23" s="14"/>
    </row>
    <row r="24" spans="1:9" ht="15" customHeight="1">
      <c r="A24" s="88" t="s">
        <v>309</v>
      </c>
      <c r="B24" s="100"/>
      <c r="C24" s="106"/>
      <c r="D24" s="111"/>
      <c r="E24" s="39"/>
      <c r="F24" s="39"/>
      <c r="G24" s="39"/>
      <c r="H24" s="39"/>
      <c r="I24" s="39"/>
    </row>
    <row r="25" spans="1:10" ht="15" customHeight="1">
      <c r="A25" s="88" t="s">
        <v>310</v>
      </c>
      <c r="B25" s="100"/>
      <c r="C25" s="106"/>
      <c r="D25" s="88" t="s">
        <v>321</v>
      </c>
      <c r="E25" s="100"/>
      <c r="F25" s="106"/>
      <c r="G25" s="88" t="s">
        <v>333</v>
      </c>
      <c r="H25" s="100"/>
      <c r="I25" s="106"/>
      <c r="J25" s="59"/>
    </row>
    <row r="26" spans="1:10" ht="15" customHeight="1">
      <c r="A26" s="88" t="s">
        <v>311</v>
      </c>
      <c r="B26" s="100"/>
      <c r="C26" s="106"/>
      <c r="D26" s="88" t="s">
        <v>322</v>
      </c>
      <c r="E26" s="100"/>
      <c r="F26" s="106"/>
      <c r="G26" s="88" t="s">
        <v>334</v>
      </c>
      <c r="H26" s="100"/>
      <c r="I26" s="106"/>
      <c r="J26" s="59"/>
    </row>
    <row r="27" spans="1:9" ht="12.75">
      <c r="A27" s="89"/>
      <c r="B27" s="89"/>
      <c r="C27" s="89"/>
      <c r="D27" s="89"/>
      <c r="E27" s="89"/>
      <c r="F27" s="89"/>
      <c r="G27" s="89"/>
      <c r="H27" s="89"/>
      <c r="I27" s="89"/>
    </row>
    <row r="28" spans="1:10" ht="14.25" customHeight="1">
      <c r="A28" s="90" t="s">
        <v>312</v>
      </c>
      <c r="B28" s="101"/>
      <c r="C28" s="107"/>
      <c r="D28" s="90" t="s">
        <v>323</v>
      </c>
      <c r="E28" s="101"/>
      <c r="F28" s="107"/>
      <c r="G28" s="90" t="s">
        <v>335</v>
      </c>
      <c r="H28" s="101"/>
      <c r="I28" s="107"/>
      <c r="J28" s="60"/>
    </row>
    <row r="29" spans="1:10" ht="14.25" customHeight="1">
      <c r="A29" s="91"/>
      <c r="B29" s="102"/>
      <c r="C29" s="108"/>
      <c r="D29" s="91"/>
      <c r="E29" s="102"/>
      <c r="F29" s="108"/>
      <c r="G29" s="91"/>
      <c r="H29" s="102"/>
      <c r="I29" s="108"/>
      <c r="J29" s="60"/>
    </row>
    <row r="30" spans="1:10" ht="14.25" customHeight="1">
      <c r="A30" s="91"/>
      <c r="B30" s="102"/>
      <c r="C30" s="108"/>
      <c r="D30" s="91"/>
      <c r="E30" s="102"/>
      <c r="F30" s="108"/>
      <c r="G30" s="91"/>
      <c r="H30" s="102"/>
      <c r="I30" s="108"/>
      <c r="J30" s="60"/>
    </row>
    <row r="31" spans="1:10" ht="14.25" customHeight="1">
      <c r="A31" s="91"/>
      <c r="B31" s="102"/>
      <c r="C31" s="108"/>
      <c r="D31" s="91"/>
      <c r="E31" s="102"/>
      <c r="F31" s="108"/>
      <c r="G31" s="91"/>
      <c r="H31" s="102"/>
      <c r="I31" s="108"/>
      <c r="J31" s="60"/>
    </row>
    <row r="32" spans="1:10" ht="14.25" customHeight="1">
      <c r="A32" s="92" t="s">
        <v>313</v>
      </c>
      <c r="B32" s="103"/>
      <c r="C32" s="109"/>
      <c r="D32" s="92" t="s">
        <v>313</v>
      </c>
      <c r="E32" s="103"/>
      <c r="F32" s="109"/>
      <c r="G32" s="92" t="s">
        <v>313</v>
      </c>
      <c r="H32" s="103"/>
      <c r="I32" s="109"/>
      <c r="J32" s="60"/>
    </row>
    <row r="33" spans="1:9" ht="11.25" customHeight="1">
      <c r="A33" s="93" t="s">
        <v>59</v>
      </c>
      <c r="B33" s="71"/>
      <c r="C33" s="71"/>
      <c r="D33" s="71"/>
      <c r="E33" s="71"/>
      <c r="F33" s="71"/>
      <c r="G33" s="71"/>
      <c r="H33" s="71"/>
      <c r="I33" s="71"/>
    </row>
    <row r="34" spans="1:9" ht="0" customHeight="1" hidden="1">
      <c r="A34" s="16"/>
      <c r="B34" s="19"/>
      <c r="C34" s="19"/>
      <c r="D34" s="19"/>
      <c r="E34" s="19"/>
      <c r="F34" s="19"/>
      <c r="G34" s="19"/>
      <c r="H34" s="19"/>
      <c r="I34" s="19"/>
    </row>
  </sheetData>
  <mergeCells count="79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0:C30"/>
    <mergeCell ref="D30:F30"/>
    <mergeCell ref="G30:I30"/>
    <mergeCell ref="A31:C31"/>
    <mergeCell ref="D31:F31"/>
    <mergeCell ref="G31:I31"/>
    <mergeCell ref="A32:C32"/>
    <mergeCell ref="D32:F32"/>
    <mergeCell ref="G32:I32"/>
    <mergeCell ref="A34:I34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