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<sst xmlns="http://schemas.openxmlformats.org/spreadsheetml/2006/main" count="2051" uniqueCount="732">
  <si>
    <t>Stavební rozpočet</t>
  </si>
  <si>
    <t>Název stavby:</t>
  </si>
  <si>
    <t>Stavební úpravy hygienického zařízení v 2.NP budovy radnice města Jablunkova</t>
  </si>
  <si>
    <t>Doba výstavby:</t>
  </si>
  <si>
    <t>Objednatel:</t>
  </si>
  <si>
    <t>Město Jablunkov, Dukelská 144, 739 91</t>
  </si>
  <si>
    <t>Druh stavby:</t>
  </si>
  <si>
    <t>Začátek výstavby:</t>
  </si>
  <si>
    <t xml:space="preserve"> </t>
  </si>
  <si>
    <t>Projektant:</t>
  </si>
  <si>
    <t>nodum atelier-na,s.r.o., Lipová 626, 739 91</t>
  </si>
  <si>
    <t>Lokalita:</t>
  </si>
  <si>
    <t>Jablunkov</t>
  </si>
  <si>
    <t>Konec výstavby:</t>
  </si>
  <si>
    <t>Zhotovitel:</t>
  </si>
  <si>
    <t>JKSO:</t>
  </si>
  <si>
    <t>Zpracováno dne:</t>
  </si>
  <si>
    <t>Zpracoval:</t>
  </si>
  <si>
    <t>Ing. arch. Marek Pyszko</t>
  </si>
  <si>
    <t>Č</t>
  </si>
  <si>
    <t>Objekt</t>
  </si>
  <si>
    <t>Kód</t>
  </si>
  <si>
    <t>Zkrácený popis / Varianta</t>
  </si>
  <si>
    <t>M.j.</t>
  </si>
  <si>
    <t>Množství</t>
  </si>
  <si>
    <t>Jednot.</t>
  </si>
  <si>
    <t>Náklady (Kč)</t>
  </si>
  <si>
    <t>Hmotnost (t)</t>
  </si>
  <si>
    <t>Cenová</t>
  </si>
  <si>
    <t>Rozměry</t>
  </si>
  <si>
    <t>cena 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</si>
  <si>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</si>
  <si>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</si>
  <si>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</si>
  <si>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</si>
  <si>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</si>
  <si>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</si>
  <si>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</si>
  <si>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</si>
  <si>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</si>
  <si>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</si>
  <si>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</si>
  <si>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</si>
  <si>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</si>
  <si>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Nezařazeno</t>
  </si>
  <si>
    <t>34</t>
  </si>
  <si>
    <t>Stěny a příčky</t>
  </si>
  <si>
    <t>HS</t>
  </si>
  <si>
    <t>1</t>
  </si>
  <si>
    <t>342254811R00</t>
  </si>
  <si>
    <t>Příčky z desek pórobetonových tl. 150 mm</t>
  </si>
  <si>
    <t>m2</t>
  </si>
  <si>
    <t>RTS I / 2013</t>
  </si>
  <si>
    <t>2</t>
  </si>
  <si>
    <t>342254611R00</t>
  </si>
  <si>
    <t>Příčky z desek pórobetonových tl. 100 mm</t>
  </si>
  <si>
    <t>3</t>
  </si>
  <si>
    <t>13287155</t>
  </si>
  <si>
    <t>Tyč žebírková, výztuž do betonu ocel 10338 D 8 mm</t>
  </si>
  <si>
    <t>T</t>
  </si>
  <si>
    <t>0</t>
  </si>
  <si>
    <t>4</t>
  </si>
  <si>
    <t>998011002R00</t>
  </si>
  <si>
    <t>Přesun hmot pro budovy zděné výšky do 12 m</t>
  </si>
  <si>
    <t>t</t>
  </si>
  <si>
    <t>5</t>
  </si>
  <si>
    <t>41</t>
  </si>
  <si>
    <t>Stropy a stropní konstrukce (pro pozemní stavby)</t>
  </si>
  <si>
    <t>416021121R00</t>
  </si>
  <si>
    <t>Podhledy SDK, kovová.kce CD. 1x deska 12,5 mm</t>
  </si>
  <si>
    <t>krytí odpadního potrubí</t>
  </si>
  <si>
    <t>6</t>
  </si>
  <si>
    <t>63140505.A</t>
  </si>
  <si>
    <t>Deska izolač.víceúčel. min.vlna tl. 50mm</t>
  </si>
  <si>
    <t>7</t>
  </si>
  <si>
    <t>61</t>
  </si>
  <si>
    <t>Úprava povrchů vnitřní</t>
  </si>
  <si>
    <t>8</t>
  </si>
  <si>
    <t>612100031RAA</t>
  </si>
  <si>
    <t>Oprava omítek stěn vnitřních vápenocem. štukových</t>
  </si>
  <si>
    <t>oprava z 10 %</t>
  </si>
  <si>
    <t>9</t>
  </si>
  <si>
    <t>612471473R00</t>
  </si>
  <si>
    <t>Úprava stěn pórobetonových, stěrkování a vyhlazení</t>
  </si>
  <si>
    <t>D+M</t>
  </si>
  <si>
    <t>10</t>
  </si>
  <si>
    <t>612421637R00</t>
  </si>
  <si>
    <t>Omítka vnitřní zdiva, MVC, štuková</t>
  </si>
  <si>
    <t>11</t>
  </si>
  <si>
    <t>63</t>
  </si>
  <si>
    <t>Podlahy a podlahové konstrukce</t>
  </si>
  <si>
    <t>12</t>
  </si>
  <si>
    <t>632451431R00</t>
  </si>
  <si>
    <t>Doplnění potěru v ploše do 1 m2, tl.20-30 mm</t>
  </si>
  <si>
    <t>13</t>
  </si>
  <si>
    <t>64</t>
  </si>
  <si>
    <t>Výplně otvorů</t>
  </si>
  <si>
    <t>14</t>
  </si>
  <si>
    <t>641940092RA0</t>
  </si>
  <si>
    <t>Montáž oken dřevěných plochy do 1,50m2</t>
  </si>
  <si>
    <t>kus</t>
  </si>
  <si>
    <t>oprava ostění a parapety</t>
  </si>
  <si>
    <t>15</t>
  </si>
  <si>
    <t>61101VD</t>
  </si>
  <si>
    <t>Okno dřevěné dvojité - replika původního okna 550*2600, O1</t>
  </si>
  <si>
    <t>ks</t>
  </si>
  <si>
    <t>16</t>
  </si>
  <si>
    <t>641940095RA0</t>
  </si>
  <si>
    <t>Montáž oken dřevěných plochy nad 1,50m2</t>
  </si>
  <si>
    <t>17</t>
  </si>
  <si>
    <t>61102VD</t>
  </si>
  <si>
    <t>Okno dřevěné dvojité - replika původního okna 1500*2600, O2</t>
  </si>
  <si>
    <t>18</t>
  </si>
  <si>
    <t>642952440R00</t>
  </si>
  <si>
    <t>Osazení zárubní dveřních dřevěných, pl. nad 10 m2</t>
  </si>
  <si>
    <t>19</t>
  </si>
  <si>
    <t>61104VD</t>
  </si>
  <si>
    <t>Dělící stěna 3000*4080 s dvojkřídlými dveřmi dveře 1500*2500, T5</t>
  </si>
  <si>
    <t>20</t>
  </si>
  <si>
    <t>61103VD</t>
  </si>
  <si>
    <t>Dělící stěna 2970*4080 s dvojkřídlými dveřmi dveře 1500*2500, T4</t>
  </si>
  <si>
    <t>21</t>
  </si>
  <si>
    <t>998766102R00</t>
  </si>
  <si>
    <t>Přesun hmot pro truhlářské konstr., výšky do 12 m</t>
  </si>
  <si>
    <t>725</t>
  </si>
  <si>
    <t>Zařizovací předměty</t>
  </si>
  <si>
    <t>PS</t>
  </si>
  <si>
    <t>22</t>
  </si>
  <si>
    <t>725291142R00</t>
  </si>
  <si>
    <t>Madlo dvojité pevné nerez dl. 800 mm</t>
  </si>
  <si>
    <t>soubor</t>
  </si>
  <si>
    <t>bezbariérové WC, montáž vč.</t>
  </si>
  <si>
    <t>23</t>
  </si>
  <si>
    <t>725291146R00</t>
  </si>
  <si>
    <t>Madlo dvojité sklopné nerez dl. 800 mm</t>
  </si>
  <si>
    <t>24</t>
  </si>
  <si>
    <t>725291123R00</t>
  </si>
  <si>
    <t>Madlo rovné nerez dl. 700 mm</t>
  </si>
  <si>
    <t>25</t>
  </si>
  <si>
    <t>Madlo rovné nerez dl. 500 mm</t>
  </si>
  <si>
    <t>26</t>
  </si>
  <si>
    <t>55149002</t>
  </si>
  <si>
    <t>Držák toaletního papíru nerez</t>
  </si>
  <si>
    <t>27</t>
  </si>
  <si>
    <t>55149020</t>
  </si>
  <si>
    <t>Dávkovač tek. mýdla nerez, 2 díly 1 l</t>
  </si>
  <si>
    <t>28</t>
  </si>
  <si>
    <t>55149010</t>
  </si>
  <si>
    <t>Zásobník nerez na papírové ručníky</t>
  </si>
  <si>
    <t>29</t>
  </si>
  <si>
    <t>55149034</t>
  </si>
  <si>
    <t>Koš odpadkový nerez, nástěnný 26 l</t>
  </si>
  <si>
    <t>30</t>
  </si>
  <si>
    <t>55149050</t>
  </si>
  <si>
    <t>Kartáč WC s nerez držákem univerzální</t>
  </si>
  <si>
    <t>31</t>
  </si>
  <si>
    <t>72501VD</t>
  </si>
  <si>
    <t>Montáž zařizovacích předmětů, nástěnných</t>
  </si>
  <si>
    <t>32</t>
  </si>
  <si>
    <t>61507VD</t>
  </si>
  <si>
    <t>Přebalovací pult 630/790/190 mm</t>
  </si>
  <si>
    <t>33</t>
  </si>
  <si>
    <t>72502VD</t>
  </si>
  <si>
    <t>Montáž přebalovacího pultu</t>
  </si>
  <si>
    <t>nástěnná</t>
  </si>
  <si>
    <t>55149032</t>
  </si>
  <si>
    <t>Koš odpadkový nerezový, obsah 35 l</t>
  </si>
  <si>
    <t>35</t>
  </si>
  <si>
    <t>53901VD</t>
  </si>
  <si>
    <t>Elektrický vysoušeč rukou, oblé hrany, 2,2kW, 340 m3/h, nerez</t>
  </si>
  <si>
    <t>36</t>
  </si>
  <si>
    <t>53902VD</t>
  </si>
  <si>
    <t>Elektrický vysoušeč rukou, ostré hrany, 2,2kW, 270 m3/h, nerez</t>
  </si>
  <si>
    <t>37</t>
  </si>
  <si>
    <t>725529301R00</t>
  </si>
  <si>
    <t>Montáž elektrického vysoušeče rukou</t>
  </si>
  <si>
    <t>38</t>
  </si>
  <si>
    <t>61508VD</t>
  </si>
  <si>
    <t>Umyvadlová deska 1390/550/388</t>
  </si>
  <si>
    <t>39</t>
  </si>
  <si>
    <t>61509VD</t>
  </si>
  <si>
    <t>Umyvadlová deska 1290/345/350</t>
  </si>
  <si>
    <t>40</t>
  </si>
  <si>
    <t>72503VD</t>
  </si>
  <si>
    <t>Montáž umyvadlové desky</t>
  </si>
  <si>
    <t>montážní materiál vč.</t>
  </si>
  <si>
    <t>998725102R00</t>
  </si>
  <si>
    <t>Přesun hmot pro zařizovací předměty, výšky do 12 m</t>
  </si>
  <si>
    <t>766</t>
  </si>
  <si>
    <t>Konstrukce truhlářské</t>
  </si>
  <si>
    <t>42</t>
  </si>
  <si>
    <t>766900010RAA</t>
  </si>
  <si>
    <t>Demontáž obložení stěn</t>
  </si>
  <si>
    <t>z panelů</t>
  </si>
  <si>
    <t>43</t>
  </si>
  <si>
    <t>979011111R00</t>
  </si>
  <si>
    <t>Svislá doprava suti a vybour. hmot za 2.NP a 1.PP</t>
  </si>
  <si>
    <t>44</t>
  </si>
  <si>
    <t>766660034RA0</t>
  </si>
  <si>
    <t>Montáž dveří a obložkové zárubně šířky 80 cm</t>
  </si>
  <si>
    <t>45</t>
  </si>
  <si>
    <t>61105VD</t>
  </si>
  <si>
    <t>Dveře dřevěné 80*2200, obložkové zárubně, T6</t>
  </si>
  <si>
    <t>46</t>
  </si>
  <si>
    <t>61106VD</t>
  </si>
  <si>
    <t>Dveře posuvné dřevěné 80*2200, obložkové zárubně, posuvný mechanismus, T2</t>
  </si>
  <si>
    <t>47</t>
  </si>
  <si>
    <t>766111110R00</t>
  </si>
  <si>
    <t>Sanitární příčky. plné hladké, dřevotř, H  2,05 m</t>
  </si>
  <si>
    <t>montážní materiál, olištování, dveře (T3,T7,T8) kování vč.</t>
  </si>
  <si>
    <t>48</t>
  </si>
  <si>
    <t>60701VD</t>
  </si>
  <si>
    <t>Desky HPL pro sanitární příčky tl. 28mm, hrany ABS 2mm D+M</t>
  </si>
  <si>
    <t>49</t>
  </si>
  <si>
    <t>60702VD</t>
  </si>
  <si>
    <t>AL lišta tvaru "T", elox,  pro sanitární příčky</t>
  </si>
  <si>
    <t>m</t>
  </si>
  <si>
    <t>50</t>
  </si>
  <si>
    <t>54901VD</t>
  </si>
  <si>
    <t>Kování pro dveře do sanitární příčky, klika s WC zámkem, 1pár válečkových pantů</t>
  </si>
  <si>
    <t>51</t>
  </si>
  <si>
    <t>61529076</t>
  </si>
  <si>
    <t>Noha nábytková nerez pro sanitární příčky</t>
  </si>
  <si>
    <t>52</t>
  </si>
  <si>
    <t>766211100R00</t>
  </si>
  <si>
    <t>Montáž madel schodišťových dřevěných dílčích</t>
  </si>
  <si>
    <t>dle stávajících madel</t>
  </si>
  <si>
    <t>53</t>
  </si>
  <si>
    <t>61107VD</t>
  </si>
  <si>
    <t>Madlo dřevěné, buk, lakované, vč. konzol</t>
  </si>
  <si>
    <t>54</t>
  </si>
  <si>
    <t>54914594</t>
  </si>
  <si>
    <t>Kliky se štítem dveř.  804  FAB/90, mosaz</t>
  </si>
  <si>
    <t>55</t>
  </si>
  <si>
    <t>54914597</t>
  </si>
  <si>
    <t>Dveřní koule s rozetou, FAB, mosaz</t>
  </si>
  <si>
    <t>56</t>
  </si>
  <si>
    <t>Dveřní koule, mosaz</t>
  </si>
  <si>
    <t>57</t>
  </si>
  <si>
    <t>54914683</t>
  </si>
  <si>
    <t>Dveřní madlo svislé, mosaz</t>
  </si>
  <si>
    <t>58</t>
  </si>
  <si>
    <t>767</t>
  </si>
  <si>
    <t>Konstrukce doplňkové stavební (zámečnické)</t>
  </si>
  <si>
    <t>59</t>
  </si>
  <si>
    <t>767647912R00</t>
  </si>
  <si>
    <t>Oprava dveří - výměna klik a štítků</t>
  </si>
  <si>
    <t>sada</t>
  </si>
  <si>
    <t>60</t>
  </si>
  <si>
    <t>767647913R00</t>
  </si>
  <si>
    <t>Oprava dveří - výměna madla</t>
  </si>
  <si>
    <t>998767102R00</t>
  </si>
  <si>
    <t>Přesun hmot pro zámečnické konstr., výšky do 12 m</t>
  </si>
  <si>
    <t>771</t>
  </si>
  <si>
    <t>Podlahy z dlaždic</t>
  </si>
  <si>
    <t>62</t>
  </si>
  <si>
    <t>771101115R00</t>
  </si>
  <si>
    <t>Vyrovnání podkladů samonivel. hmotou tl. do 10 mm</t>
  </si>
  <si>
    <t>Vyrovnání podkladů samonivel. hmotou tl. do 5 mm</t>
  </si>
  <si>
    <t>585603110</t>
  </si>
  <si>
    <t>Stěrka samonivelační cementová tl. do 10mm</t>
  </si>
  <si>
    <t>kg</t>
  </si>
  <si>
    <t>65</t>
  </si>
  <si>
    <t>Stěrka samonivelační cementová tl. do 5mm</t>
  </si>
  <si>
    <t>66</t>
  </si>
  <si>
    <t>771101210RT1</t>
  </si>
  <si>
    <t>Penetrace podkladu pod dlažby</t>
  </si>
  <si>
    <t>penetrační nátěr vč.</t>
  </si>
  <si>
    <t>67</t>
  </si>
  <si>
    <t>771212117R00</t>
  </si>
  <si>
    <t>Kladení dlažby keramické do TM, vel. do 600x600 mm</t>
  </si>
  <si>
    <t>68</t>
  </si>
  <si>
    <t>59764207</t>
  </si>
  <si>
    <t>Dlažba matná 600x600 mm</t>
  </si>
  <si>
    <t>69</t>
  </si>
  <si>
    <t>781479705R00</t>
  </si>
  <si>
    <t>Přípl.za spárovací hmotu - plošně</t>
  </si>
  <si>
    <t>70</t>
  </si>
  <si>
    <t>585820122</t>
  </si>
  <si>
    <t>Spárovací hmota stříbrošedá</t>
  </si>
  <si>
    <t>71</t>
  </si>
  <si>
    <t>771577114R00</t>
  </si>
  <si>
    <t>Lišta hliníková přechodová, různá výška dlaždic</t>
  </si>
  <si>
    <t>dlažba / vlysy, dekor vlysů</t>
  </si>
  <si>
    <t>72</t>
  </si>
  <si>
    <t>998771102R00</t>
  </si>
  <si>
    <t>Přesun hmot pro podlahy z dlaždic, výšky do 12 m</t>
  </si>
  <si>
    <t>773</t>
  </si>
  <si>
    <t>Podlahy z litého teraca</t>
  </si>
  <si>
    <t>73</t>
  </si>
  <si>
    <t>773500910R00</t>
  </si>
  <si>
    <t>Opravy teracových stupňů</t>
  </si>
  <si>
    <t>oprava do 5%</t>
  </si>
  <si>
    <t>74</t>
  </si>
  <si>
    <t>773500930R00</t>
  </si>
  <si>
    <t>Opravy teracových podlah v místech prasklin a narušených přechodů</t>
  </si>
  <si>
    <t>oprava do 3%</t>
  </si>
  <si>
    <t>75</t>
  </si>
  <si>
    <t>998773102R00</t>
  </si>
  <si>
    <t>Přesun hmot pro podlahy teracové, výšky do 12 m</t>
  </si>
  <si>
    <t>775</t>
  </si>
  <si>
    <t>Podlahy vlysové a parketové</t>
  </si>
  <si>
    <t>76</t>
  </si>
  <si>
    <t>775591900R00</t>
  </si>
  <si>
    <t>Oprava podlah, broušení vlysů, parket trojnásobné</t>
  </si>
  <si>
    <t>77</t>
  </si>
  <si>
    <t>775599150R00</t>
  </si>
  <si>
    <t>Lak dřevěných podlah 2x, přebroušení</t>
  </si>
  <si>
    <t>78</t>
  </si>
  <si>
    <t>775981113RU1</t>
  </si>
  <si>
    <t>Lišta hliníková přechodová, různá výška krytin</t>
  </si>
  <si>
    <t>profil krycí 55/F, na hmoždinky, š. 35 mm, v. 8 mm</t>
  </si>
  <si>
    <t>79</t>
  </si>
  <si>
    <t>775521800R00</t>
  </si>
  <si>
    <t>Demontáž podlah vlysových přibíjených včetně lišt</t>
  </si>
  <si>
    <t>80</t>
  </si>
  <si>
    <t>81</t>
  </si>
  <si>
    <t>775413010R00</t>
  </si>
  <si>
    <t>Montáž podlahové lišty ze dřeva, přibíjené</t>
  </si>
  <si>
    <t>82</t>
  </si>
  <si>
    <t>61413310.A</t>
  </si>
  <si>
    <t>Lišta dřevěná buk tmavě hnědá 70x20mm</t>
  </si>
  <si>
    <t>83</t>
  </si>
  <si>
    <t>998775102R00</t>
  </si>
  <si>
    <t>Přesun hmot pro podlahy vlysové, výšky do 12 m</t>
  </si>
  <si>
    <t>776</t>
  </si>
  <si>
    <t>Podlahy povlakové</t>
  </si>
  <si>
    <t>84</t>
  </si>
  <si>
    <t>776511810RT1</t>
  </si>
  <si>
    <t>Odstranění PVC a koberců lepených bez podložky</t>
  </si>
  <si>
    <t>85</t>
  </si>
  <si>
    <t>781</t>
  </si>
  <si>
    <t>Obklady (keramické)</t>
  </si>
  <si>
    <t>86</t>
  </si>
  <si>
    <t>781101111R00</t>
  </si>
  <si>
    <t>Vyrovnání podkladu maltou ze SMS tl. do 7 mm D+M</t>
  </si>
  <si>
    <t>SMS vč.</t>
  </si>
  <si>
    <t>87</t>
  </si>
  <si>
    <t>781101210RT1</t>
  </si>
  <si>
    <t>Penetrace podkladu pod obklady</t>
  </si>
  <si>
    <t>88</t>
  </si>
  <si>
    <t>781475115R00</t>
  </si>
  <si>
    <t>Obklad vnitřní stěn keramický, do tmele, 60x25 cm</t>
  </si>
  <si>
    <t>89</t>
  </si>
  <si>
    <t>597813752</t>
  </si>
  <si>
    <t>Obkládačka 250x600</t>
  </si>
  <si>
    <t>90</t>
  </si>
  <si>
    <t>91</t>
  </si>
  <si>
    <t>92</t>
  </si>
  <si>
    <t>781491001RT1</t>
  </si>
  <si>
    <t>Montáž lišt k obkladům</t>
  </si>
  <si>
    <t>rohových, koutových i dilatačních</t>
  </si>
  <si>
    <t>93</t>
  </si>
  <si>
    <t>781497121R00</t>
  </si>
  <si>
    <t>Lišta hliníková rohová k obkladům</t>
  </si>
  <si>
    <t>montáž do tmele vč.</t>
  </si>
  <si>
    <t>94</t>
  </si>
  <si>
    <t>63465126</t>
  </si>
  <si>
    <t>Zrcadlo nemontované čiré tl. 5 mm</t>
  </si>
  <si>
    <t>95</t>
  </si>
  <si>
    <t>787130240R00</t>
  </si>
  <si>
    <t>Zasklívání stěn,tmel,válcov. bez dr.vložky 4-6 mm</t>
  </si>
  <si>
    <t>montáž zrcadla</t>
  </si>
  <si>
    <t>96</t>
  </si>
  <si>
    <t>998781102R00</t>
  </si>
  <si>
    <t>Přesun hmot pro obklady keramické, výšky do 12 m</t>
  </si>
  <si>
    <t>783</t>
  </si>
  <si>
    <t>Nátěry</t>
  </si>
  <si>
    <t>97</t>
  </si>
  <si>
    <t>783626028R00</t>
  </si>
  <si>
    <t>Tmelení defektů povrchu truhl. výrobků</t>
  </si>
  <si>
    <t>před nátěrem dveří, D+M</t>
  </si>
  <si>
    <t>98</t>
  </si>
  <si>
    <t>783626020R00</t>
  </si>
  <si>
    <t>Nátěr syntetický truhlářských výrobků 2x lakování</t>
  </si>
  <si>
    <t>99</t>
  </si>
  <si>
    <t>783622920R00</t>
  </si>
  <si>
    <t>Údržba, nátěr syntetický truhl. výrobků 2x + 1x tm</t>
  </si>
  <si>
    <t>složitost ploch</t>
  </si>
  <si>
    <t>784</t>
  </si>
  <si>
    <t>Malby</t>
  </si>
  <si>
    <t>100</t>
  </si>
  <si>
    <t>784450075RA0</t>
  </si>
  <si>
    <t>Malba disperzní, penetrace 1x, malba bílá 2x</t>
  </si>
  <si>
    <t>Bourání konstrukcí</t>
  </si>
  <si>
    <t>101</t>
  </si>
  <si>
    <t>962031132R00</t>
  </si>
  <si>
    <t>Bourání příček cihelných tl. 10 cm</t>
  </si>
  <si>
    <t>102</t>
  </si>
  <si>
    <t>962031133R00</t>
  </si>
  <si>
    <t>Bourání příček cihelných tl. 15 cm</t>
  </si>
  <si>
    <t>103</t>
  </si>
  <si>
    <t>962032231R00</t>
  </si>
  <si>
    <t>Bourání zdiva z cihel pálených na MVC</t>
  </si>
  <si>
    <t>m3</t>
  </si>
  <si>
    <t>104</t>
  </si>
  <si>
    <t>962081141R00</t>
  </si>
  <si>
    <t>Bourání příček ze skleněných tvárnic tl. 15 cm</t>
  </si>
  <si>
    <t>105</t>
  </si>
  <si>
    <t>106</t>
  </si>
  <si>
    <t>968061112R00</t>
  </si>
  <si>
    <t>Vyvěšení dřevěných okenních křídel pl. do 1,5 m2</t>
  </si>
  <si>
    <t>107</t>
  </si>
  <si>
    <t>968062354R00</t>
  </si>
  <si>
    <t>Vybourání dřevěných rámů oken dvojitých pl. 1 m2</t>
  </si>
  <si>
    <t>108</t>
  </si>
  <si>
    <t>968062356R00</t>
  </si>
  <si>
    <t>Vybourání dřevěných rámů oken dvojitých pl. 4 m2</t>
  </si>
  <si>
    <t>109</t>
  </si>
  <si>
    <t>968062247R00</t>
  </si>
  <si>
    <t>Vybourání dřevěných rámů oken jednoduch. nad 4 m2</t>
  </si>
  <si>
    <t>110</t>
  </si>
  <si>
    <t>968062455R00</t>
  </si>
  <si>
    <t>Vybourání dřevěných dveřních zárubní pl. do 2 m2</t>
  </si>
  <si>
    <t>111</t>
  </si>
  <si>
    <t>968062456R00</t>
  </si>
  <si>
    <t>Vybourání dřevěných dveřních zárubní pl. nad 2 m2</t>
  </si>
  <si>
    <t>112</t>
  </si>
  <si>
    <t>968061125R00</t>
  </si>
  <si>
    <t>Vyvěšení dřevěných dveřních křídel pl. do 2 m2</t>
  </si>
  <si>
    <t>113</t>
  </si>
  <si>
    <t>968061126R00</t>
  </si>
  <si>
    <t>Vyvěšení dřevěných dveřních křídel pl. nad 2 m2</t>
  </si>
  <si>
    <t>114</t>
  </si>
  <si>
    <t>968062747R00</t>
  </si>
  <si>
    <t>Vybourání dřevěných stěn plochy nad 4 m2</t>
  </si>
  <si>
    <t>115</t>
  </si>
  <si>
    <t>966068102R00</t>
  </si>
  <si>
    <t>Demontáž dřevěných konstrukcí horizontál</t>
  </si>
  <si>
    <t>116</t>
  </si>
  <si>
    <t>117</t>
  </si>
  <si>
    <t>968072455R00</t>
  </si>
  <si>
    <t>Vybourání kovových dveřních zárubní pl. do 2 m2</t>
  </si>
  <si>
    <t>118</t>
  </si>
  <si>
    <t>Prorážení otvorů a ostatní bourací práce</t>
  </si>
  <si>
    <t>119</t>
  </si>
  <si>
    <t>971033531R00</t>
  </si>
  <si>
    <t>Vybourání otv. zeď cihel. pl.1 m2, tl.15 cm, MVC</t>
  </si>
  <si>
    <t>120</t>
  </si>
  <si>
    <t>978059521R00</t>
  </si>
  <si>
    <t>Odsekání vnitřních obkladů stěn do 2 m2</t>
  </si>
  <si>
    <t>stávající keramický obklad</t>
  </si>
  <si>
    <t>121</t>
  </si>
  <si>
    <t>999</t>
  </si>
  <si>
    <t>Projektová dokumentace</t>
  </si>
  <si>
    <t>122</t>
  </si>
  <si>
    <t>9501VD</t>
  </si>
  <si>
    <t>Projektová dokumentace skutečného provedení stavby</t>
  </si>
  <si>
    <t>kpl</t>
  </si>
  <si>
    <t>DSPS</t>
  </si>
  <si>
    <t>M21</t>
  </si>
  <si>
    <t>Elektromontáže</t>
  </si>
  <si>
    <t>MP</t>
  </si>
  <si>
    <t>123</t>
  </si>
  <si>
    <t>210203201R00</t>
  </si>
  <si>
    <t>Svítidlo žárovkové závěsné, 1 žárovka, M</t>
  </si>
  <si>
    <t>pro záv. svítidla prům. 300 a 500 mm</t>
  </si>
  <si>
    <t>124</t>
  </si>
  <si>
    <t>34802VD</t>
  </si>
  <si>
    <t>Svítidlo byt.závěsné žárovkové, koule prům. 500 mm</t>
  </si>
  <si>
    <t>125</t>
  </si>
  <si>
    <t>34801VD</t>
  </si>
  <si>
    <t>Svítidlo byt.závěsné žárovkové, koule prům. 300 mm</t>
  </si>
  <si>
    <t>126</t>
  </si>
  <si>
    <t>210201054R00</t>
  </si>
  <si>
    <t>Svítidlo zářivkové nástěnné, M</t>
  </si>
  <si>
    <t>127</t>
  </si>
  <si>
    <t>34825101</t>
  </si>
  <si>
    <t>Svítidlo inter.zářivk. nástěnné 60/801300 mm, nerez, difuzor OP</t>
  </si>
  <si>
    <t>128</t>
  </si>
  <si>
    <t>34825100</t>
  </si>
  <si>
    <t>Svítidlo inter.zářivk. nástěnné 60/80/1200 mm, nerez, difuzor OP</t>
  </si>
  <si>
    <t>129</t>
  </si>
  <si>
    <t>34821275</t>
  </si>
  <si>
    <t>Svítidlo nástěnné obousměrné 2x35W, nerez válec nad pisoár</t>
  </si>
  <si>
    <t>M25</t>
  </si>
  <si>
    <t>Povrchové úpravy strojů a zařízení</t>
  </si>
  <si>
    <t>130</t>
  </si>
  <si>
    <t>250050003R00</t>
  </si>
  <si>
    <t>Nátěr skříně rozvaděče, bílá, D+M</t>
  </si>
  <si>
    <t>S</t>
  </si>
  <si>
    <t>Přesuny sutí</t>
  </si>
  <si>
    <t>PR</t>
  </si>
  <si>
    <t>131</t>
  </si>
  <si>
    <t>979082111R00</t>
  </si>
  <si>
    <t>Vnitrostaveništní doprava suti do 10 m</t>
  </si>
  <si>
    <t>132</t>
  </si>
  <si>
    <t>979081111R00</t>
  </si>
  <si>
    <t>Odvoz suti a vybour. hmot na skládku do 1 km</t>
  </si>
  <si>
    <t>133</t>
  </si>
  <si>
    <t>979081121R00</t>
  </si>
  <si>
    <t>Příplatek k odvozu za každý další 1 km</t>
  </si>
  <si>
    <t>134</t>
  </si>
  <si>
    <t>979095311R00</t>
  </si>
  <si>
    <t>Naložení a složení vybouraných hmot/konstrukcí</t>
  </si>
  <si>
    <t>135</t>
  </si>
  <si>
    <t>979095312R00</t>
  </si>
  <si>
    <t>Naložení a složení suti</t>
  </si>
  <si>
    <t>136</t>
  </si>
  <si>
    <t>979990001R00</t>
  </si>
  <si>
    <t>Poplatek za skládku stavební suti</t>
  </si>
  <si>
    <t>137</t>
  </si>
  <si>
    <t>979990162R00</t>
  </si>
  <si>
    <t>Poplatek za skládku suti - dřevo+sklo</t>
  </si>
  <si>
    <t>138</t>
  </si>
  <si>
    <t>979990182R00</t>
  </si>
  <si>
    <t>Poplatek za skládku suti - koberce</t>
  </si>
  <si>
    <t>Celkem:</t>
  </si>
  <si>
    <t>Poznámka:</t>
  </si>
  <si>
    <t xml:space="preserve">Řešené prostory jsou v poznámkách výkazu výměr označeny podlažím nebo číslem místnosti.
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</si>
  <si>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</si>
  <si>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</si>
  <si>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</si>
  <si>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</si>
  <si>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</si>
  <si>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</si>
  <si>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</si>
  <si>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</si>
  <si>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Cenová soustava</t>
  </si>
  <si>
    <t>(1,628*4,08)+(1,672*1,265)+(1*2,5)   M2.14, předstěna a dozdívka otvoru</t>
  </si>
  <si>
    <t>(3,29*4,08)-(0,9*2,25)   M2.18, M2.19, M2.16 dělící příčka</t>
  </si>
  <si>
    <t>(2,5*1,95)+(0,25*4,08)   M2.18, předstěna</t>
  </si>
  <si>
    <t>(2,45*2,5)-(0,8*2,25)   M2.18, M2.19, dělící příčka</t>
  </si>
  <si>
    <t>((6*3,29)-(2*0,9))*0,0004   M2.18, M2.19, M2.16, výztuž do dělící příčky</t>
  </si>
  <si>
    <t>;ztratné 5%; 0,0455</t>
  </si>
  <si>
    <t>(2*0,5*0,2)+(0,2*0,2)   M1.16</t>
  </si>
  <si>
    <t>(2,9*0,2*2)+(0,2*0,2)   M1.17</t>
  </si>
  <si>
    <t>2,4*(5,5+0,3+0,3+7,125)   M2.03</t>
  </si>
  <si>
    <t>2,4*(3,23+1,125+4,7+0,35)   M2.23</t>
  </si>
  <si>
    <t>1,9*(2,25+0,25+1,065+2,675+2,150+3,75+2,1+6,75+3,95+2,1+2,79+3,172+2,875+1,65+0,48)   M2.16</t>
  </si>
  <si>
    <t>1,9*(0,628+0,55+3,345+9,32+0,625)   M2.17</t>
  </si>
  <si>
    <t>;1.NP;1,4*(4,85+5,55+3,85+1,85+1,85+3,85+3,6+2,75+4,85)   obklady v 1.NP (vstupní prostory)</t>
  </si>
  <si>
    <t>(0,475*1)+(2,055*1,628)   M2.14</t>
  </si>
  <si>
    <t>1,44+(0,475*2,45)+(1,8*2,055)   M2.18</t>
  </si>
  <si>
    <t>1,3+2,86   M2.19</t>
  </si>
  <si>
    <t>1   M2.18, M2.19, opravy potěru po bouracích pracích</t>
  </si>
  <si>
    <t>2   M2.03</t>
  </si>
  <si>
    <t>1   M2.03</t>
  </si>
  <si>
    <t>2   M2.16</t>
  </si>
  <si>
    <t>1   M2.16</t>
  </si>
  <si>
    <t>1   M2.14</t>
  </si>
  <si>
    <t>2   M2.14</t>
  </si>
  <si>
    <t>3   M2.14</t>
  </si>
  <si>
    <t>2   M2.18</t>
  </si>
  <si>
    <t>1   M2.19</t>
  </si>
  <si>
    <t>1   M2.14 (bezb. WC)</t>
  </si>
  <si>
    <t>1   M2.18</t>
  </si>
  <si>
    <t>(1,9*(3,3+1,6+1,6))   M2.14</t>
  </si>
  <si>
    <t>(1,9*(2,1+1,1))   M2.18</t>
  </si>
  <si>
    <t>;ztratné 20%; 3,686</t>
  </si>
  <si>
    <t>3*1,85   M2.14</t>
  </si>
  <si>
    <t>2*1,85   M2.18</t>
  </si>
  <si>
    <t>;ztrátné;(2*5)-9,25   lišty v délkách 2m</t>
  </si>
  <si>
    <t>6   M2.14</t>
  </si>
  <si>
    <t>10   M2.18</t>
  </si>
  <si>
    <t>2,3+0,7+0,9   M1.02</t>
  </si>
  <si>
    <t>3,5   M1.03</t>
  </si>
  <si>
    <t>;ztratné 8%; 0,6216</t>
  </si>
  <si>
    <t>4   1.NP</t>
  </si>
  <si>
    <t>7   2.NP</t>
  </si>
  <si>
    <t>1   1.NP, pro jedno křídlo</t>
  </si>
  <si>
    <t>1   1.NP</t>
  </si>
  <si>
    <t>2   M1.01, M1.02, 1 pár / 1 křídlo</t>
  </si>
  <si>
    <t>11-4   mimo montáže pro nové dveře</t>
  </si>
  <si>
    <t>12   M2.14</t>
  </si>
  <si>
    <t>5,34   M2,18</t>
  </si>
  <si>
    <t>3,55   M2.19</t>
  </si>
  <si>
    <t>12*1,7*1*10   M2.14</t>
  </si>
  <si>
    <t>5,34*1,7*1,5   M2.18</t>
  </si>
  <si>
    <t>3,55*1,7*1*5   M2.19</t>
  </si>
  <si>
    <t>5,34   M2.18</t>
  </si>
  <si>
    <t>;ztratné 15%; 3,1335</t>
  </si>
  <si>
    <t>12*0,35   M2.14</t>
  </si>
  <si>
    <t>5,34*0,35   M2.18</t>
  </si>
  <si>
    <t>3,55*0,35   M2.19</t>
  </si>
  <si>
    <t>;ztratné 10%; 0,842</t>
  </si>
  <si>
    <t>0,8   M2.14</t>
  </si>
  <si>
    <t>0,8</t>
  </si>
  <si>
    <t>(1*0,175*2,85)+(2*0,3*2,85)+(7*0,175*4,3)+(6*0,3*4,3)   1.NP, vstupní schodiště, 8 stupňů</t>
  </si>
  <si>
    <t>(1*0,152*4,7)+(1*0,3*2,3+2*0,32*0,32)+(1*0,152*(2,3+0,32+0,32))+(14*0,152*2,3)+(14*0,32*2,3)   1.NP, schodišťové rameno z 1.NP na mezipodestu</t>
  </si>
  <si>
    <t>2*((12*0,152*1,8)+(12*0,32*1,8))   1.NP, 2.NP, schodišťové ramena z mezipodesty na 2.NP</t>
  </si>
  <si>
    <t>4,9-(0,8*0,6)   M1.01</t>
  </si>
  <si>
    <t>23,2-7,74   M1.02 (bez schodiště)</t>
  </si>
  <si>
    <t>40,01+11,53   M1.03 (bez schodiště)</t>
  </si>
  <si>
    <t>83,7-14,36   M2.16</t>
  </si>
  <si>
    <t>14,1-12,7   M2.23</t>
  </si>
  <si>
    <t>22,42   M2.03</t>
  </si>
  <si>
    <t>15,35   M2.15</t>
  </si>
  <si>
    <t>14,36   M2.16</t>
  </si>
  <si>
    <t>4,3   M2.15</t>
  </si>
  <si>
    <t>4,2   M2.16</t>
  </si>
  <si>
    <t>2,97   M2.03</t>
  </si>
  <si>
    <t>;ztratné;(5*2,7)-11,47   lišty délky 2,7m</t>
  </si>
  <si>
    <t>12,7   M2.14</t>
  </si>
  <si>
    <t>3,6+4,9+4,5+(16*0,15*2)+2,4+3,2+3,6   1.NP</t>
  </si>
  <si>
    <t>3,3+16,85+0,45   M2.03</t>
  </si>
  <si>
    <t>1,6+2,1+3,65+2+6,6+3,9+4,3+1,8+11,5   M2.16</t>
  </si>
  <si>
    <t>0,45+10,65   M2.15</t>
  </si>
  <si>
    <t>16,3+(2*12*0,15)   M2.17</t>
  </si>
  <si>
    <t>;ztratné 10%; 11,605</t>
  </si>
  <si>
    <t>17,6   M2.03</t>
  </si>
  <si>
    <t>15,5   M2.15</t>
  </si>
  <si>
    <t>14,1   M2.23</t>
  </si>
  <si>
    <t>28,8   M2.16</t>
  </si>
  <si>
    <t>(2,025*(2,75+7,73+0,74))+0,25-1,125   M2.14</t>
  </si>
  <si>
    <t>(2,025*(4,7+2,75))-(1,38*0,75)   M2.18</t>
  </si>
  <si>
    <t>(2*(5,59+0,59))-1,04   M2.19</t>
  </si>
  <si>
    <t>;ztratné 10%; 5,235</t>
  </si>
  <si>
    <t>((2,025*(2,75+7,73+0,74))+0,25-1,125)*0,5   M2.14</t>
  </si>
  <si>
    <t>((2,025*(4,7+2,75))-(1,38*0,75))*0,5   M2.18</t>
  </si>
  <si>
    <t>((2*(5,59+0,59))-1,04)*0,5   M2.19</t>
  </si>
  <si>
    <t>;ztratné 10%; 2,695</t>
  </si>
  <si>
    <t>1,75+0,76+(4*2,025)   M2.14</t>
  </si>
  <si>
    <t>2*2,025   M2.18</t>
  </si>
  <si>
    <t>;ztrátné;(2,7*7)-14,66   lišty v délkách 2,7m</t>
  </si>
  <si>
    <t>1,38*0,75   M2.19</t>
  </si>
  <si>
    <t>1,3*0,75   M2.14</t>
  </si>
  <si>
    <t>15,6+7,2+7,2+5,25+6,2+4,65+4,65   1.NP (mimo prosklené plochy 50%)</t>
  </si>
  <si>
    <t>(0,8*2,45*2)+(0,9*3,87*2)+(0,9*2,3*2)   2.NP</t>
  </si>
  <si>
    <t>(4*10)+(0,12*3,9*2)+(0,3*0,3*1,5*4)+(2,45*0,12)+(2*2,45*1,1)+2*((2,4*0,12)+(2,4*1,1*2))+(0,4*4)   2.NP a mezipodesta, zábradlí hlavního schodiště</t>
  </si>
  <si>
    <t>;ztratné 10%;5,99</t>
  </si>
  <si>
    <t>2*(6,86+1,03)*0,13+15,35   M2.15</t>
  </si>
  <si>
    <t>(4,08*15,9)-(2*1,03*2,65)-(0,85*2,2)-14,6-8,5+0,18*(2*2,6+5,08)+0,45*(2,7+2,7+3,6)   M2.15</t>
  </si>
  <si>
    <t>30,43+(2*0,8*0,55)+(0,8*1,5)   M2.03</t>
  </si>
  <si>
    <t>4,08*(5,37+3,36+0,48+3+2,93+0,3+0,3)+2*(0,3*2,3)+(0,3*1,8)+1,73+(1,93*1,3)+(2*0,68*0,55)+(0,68*1,5)   M2.03</t>
  </si>
  <si>
    <t>14,36+12,9+19,8+31,5   M2.16</t>
  </si>
  <si>
    <t>-(1,35*2,75)+(7*4,08)-(2*1,35*2,75)+((4,55*4,08)-(1,35*2,75)-(2*0,6*0,85))+((3,29*4,08)-(0,85*2,02))   M2.16</t>
  </si>
  <si>
    <t>(2*1,43)+0,45*(2,7+2,7+3,7)+(0,35*4,8)+2,5+(6,05*4,08)-(0,9*2,5)+(3*4,08)+(10,7*4,08)-(0,95*3,92)   M2.16</t>
  </si>
  <si>
    <t>2*(0,35*(1,15+3,45+3,45))+4,08*(0,15+0,17)+(2*1,43)+0,45*(2,7+2,7+3,7)+(0,35*4,08)+3,24+(0,35*4,08)   M2.16</t>
  </si>
  <si>
    <t>4,08*(0,62+0,48+0,95+0,25)+1,25+0,45*(2,7+2,7+3,6)+4,08*(0,65+0,15)+(2*2,5)+0,18*(2*2,6+5,08)   M2.16</t>
  </si>
  <si>
    <t>6,7+(2,055*3,55)+(2,055*1,628)+(2,055*1,672)+(2,055*0,15)+(4*1,4*0,13)+4,65+(2*1,05*0,13)+11,96   M2.14</t>
  </si>
  <si>
    <t>2*((6,3*0,5)+(4,25*0,15)+8,76+(5,92*2,6)+(2,04*5,92)-(2,04*3,3)-3,26+3)+34,5+0,7+(2*3,3*0,18)+3,24   M2.17</t>
  </si>
  <si>
    <t>3,08+1,4+((1,58+1,95)*0,15)+4,47+1,23+3,78+(2*0,1*1,43)+(0,1*1,05)+5,7   M2.18</t>
  </si>
  <si>
    <t>1,3+2,86+2,86+5,34+3,61   M2.19</t>
  </si>
  <si>
    <t>2,9*0,2*2+0,2*0,2   M1.17, SDK</t>
  </si>
  <si>
    <t>2*0,5*0,2+(0,2*0,2)   M1.16, SDK</t>
  </si>
  <si>
    <t>26,08+7,73+(3,85*0,725)+(0,6*(3,6+(2*1,63)))+2,15+(2,18*3,8)+0,2*(2,27+3,38+2,27)+2,1+(0,75*3,8)   1.NP</t>
  </si>
  <si>
    <t>(4,175*3,8)+0,1*(2,4+2,43+2,4)+1,2+(0,25*3,8)+(0,225*3,041)+0,5*(1,945+3,15+1,945)+(2*3)   1.NP</t>
  </si>
  <si>
    <t>(0,225*3,041)+(0,25*3,8)+1,2+0,1*(2,4+2,43+2,4)+(1,375*3,8)+(0,45*2,5)+(0,5*3,8)+(0,7*3,8)   1.NP</t>
  </si>
  <si>
    <t>(0,45*2,5)+(1,55*1,3)+(2*3,8)+0,2*(2,27+3,38+2,27)+2,1+(2,18*3,18)+(3,85*0,725)+1,3+7,73+26,08   1.NP</t>
  </si>
  <si>
    <t>(2*0,15*4,8)+(2*0,3*3,9)+1,7+2,72+(28,5*1,15)+43,02   1.NP</t>
  </si>
  <si>
    <t>(2,4*2,2)-(2*0,7*2,02)   M2.18, M2.19, M2.20</t>
  </si>
  <si>
    <t>1,05*2,2   M2.19, M2.20</t>
  </si>
  <si>
    <t>(0,83*4,08)-(0,7*2,02)   M2.21, M2.22</t>
  </si>
  <si>
    <t>(2,55*4,08)-(0,8*1,2)   M2.19,M2.20 a M2.21, M2.22</t>
  </si>
  <si>
    <t>3,3*4,08-(0,9*2,02)-(3,3*1,5)   M2.03</t>
  </si>
  <si>
    <t>14,63-(2,6*0,75)-(0,9*2,02)+8,43   M2.15 (VYBOURÁNÍ DVOU OBLOUKOVÝCH PŘÍČEK)</t>
  </si>
  <si>
    <t>((3,6*4,08)-(2*0,7*2,02))*0,19   příčka WC tl. 190mm, M2.16</t>
  </si>
  <si>
    <t>2,9*0,75   M2.15, odstranění luxferů</t>
  </si>
  <si>
    <t>0,8*1,2   M2.21, odstranění luxferů</t>
  </si>
  <si>
    <t>14   M2.03, okenní křídla tří okenních rámů</t>
  </si>
  <si>
    <t>2*0,55*2,6   M2.03</t>
  </si>
  <si>
    <t>1*1,5*2,6   M2.03</t>
  </si>
  <si>
    <t>3,3*1,5   M2.03 dřevěný rám se zasklením v dělící příčce</t>
  </si>
  <si>
    <t>0,9*2,02   M2.03</t>
  </si>
  <si>
    <t>1*2,5   M2.14</t>
  </si>
  <si>
    <t>1   M2.20, 0,6*1,97</t>
  </si>
  <si>
    <t>1   M2.15, 0,8*1,97</t>
  </si>
  <si>
    <t>2   M2.23 dělící dveře, 2*0,75*2,4</t>
  </si>
  <si>
    <t>2   M2.18, 2*0,6*1,97</t>
  </si>
  <si>
    <t>2   M2.21, 2*0,6*1,97</t>
  </si>
  <si>
    <t>1   M2.03,  0,8*1,97</t>
  </si>
  <si>
    <t>0,9*2,45   M2.14</t>
  </si>
  <si>
    <t>(2,97*4,08)-(2,4*1,5)   M2.23 dělící dřevěná příčka s dveřními křídly</t>
  </si>
  <si>
    <t>((4*3,6)+(4*3,3)+(3*3)+2,8)*0,15*0,06   M2.03, odstranění podhledu</t>
  </si>
  <si>
    <t>((4*3,3)+2,97)*0,15*0,06   M2.23, odstranění podhledu</t>
  </si>
  <si>
    <t>0,9*2,02   M2.15</t>
  </si>
  <si>
    <t>0,7*2,02   M2.20</t>
  </si>
  <si>
    <t>2*0,7*2,02   M2.21</t>
  </si>
  <si>
    <t>2*0,7*2,02   M2.18</t>
  </si>
  <si>
    <t>0,9*2,05   M2.14</t>
  </si>
  <si>
    <t>1,4*(2,87+2,34)   M2.18</t>
  </si>
  <si>
    <t>2,96*1,4   M2.19</t>
  </si>
  <si>
    <t>1,4*(2,81+1,11)   M2.20</t>
  </si>
  <si>
    <t>1,4*(1,57+1,43)   M2.21</t>
  </si>
  <si>
    <t>1,4*3,3   M2.22</t>
  </si>
  <si>
    <t>1   M1.02</t>
  </si>
  <si>
    <t>4   M1.03</t>
  </si>
  <si>
    <t>1   M2.15</t>
  </si>
  <si>
    <t>5   M2.16</t>
  </si>
  <si>
    <t>2   M2.18, M2.19</t>
  </si>
  <si>
    <t>3   M2.18</t>
  </si>
  <si>
    <t>0,56   1.NP</t>
  </si>
  <si>
    <t>0,56+0,51   2.NP</t>
  </si>
  <si>
    <t>6,5369+14,0082+2,2498+0,254+0,0887</t>
  </si>
  <si>
    <t>6,5369+0,99441+0,67564+0,254+0,0887</t>
  </si>
  <si>
    <t>2,2498+12,33814</t>
  </si>
  <si>
    <t>14,59</t>
  </si>
  <si>
    <t>6,5369+0,99441+0,254</t>
  </si>
  <si>
    <t>0,0887</t>
  </si>
  <si>
    <t>Krycí list rozpočtu</t>
  </si>
  <si>
    <t>IČ/DIČ:</t>
  </si>
  <si>
    <t>00296759/CZ00296759</t>
  </si>
  <si>
    <t>29462525/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</si>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</sst>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#,##0.00"/>
  </numFmts>
  <fonts count="12">
    <font>
      <sz val="10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i/>
      <sz val="8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left" vertical="center" wrapText="1"/>
      <protection/>
    </xf>
    <xf numFmtId="164" fontId="3" fillId="0" borderId="3" xfId="0" applyNumberFormat="1" applyFont="1" applyFill="1" applyBorder="1" applyAlignment="1" applyProtection="1">
      <alignment horizontal="left" vertical="center" wrapText="1"/>
      <protection/>
    </xf>
    <xf numFmtId="165" fontId="2" fillId="0" borderId="3" xfId="0" applyNumberFormat="1" applyFont="1" applyFill="1" applyBorder="1" applyAlignment="1" applyProtection="1">
      <alignment horizontal="left" vertical="center"/>
      <protection/>
    </xf>
    <xf numFmtId="164" fontId="2" fillId="0" borderId="3" xfId="0" applyNumberFormat="1" applyFont="1" applyFill="1" applyBorder="1" applyAlignment="1" applyProtection="1">
      <alignment horizontal="left" vertical="center" wrapText="1"/>
      <protection/>
    </xf>
    <xf numFmtId="164" fontId="2" fillId="0" borderId="4" xfId="0" applyNumberFormat="1" applyFont="1" applyFill="1" applyBorder="1" applyAlignment="1" applyProtection="1">
      <alignment horizontal="left" vertical="center" wrapText="1"/>
      <protection/>
    </xf>
    <xf numFmtId="164" fontId="2" fillId="0" borderId="5" xfId="0" applyNumberFormat="1" applyFont="1" applyFill="1" applyBorder="1" applyAlignment="1" applyProtection="1">
      <alignment vertical="center"/>
      <protection/>
    </xf>
    <xf numFmtId="164" fontId="2" fillId="0" borderId="5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6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7" xfId="0" applyNumberFormat="1" applyFont="1" applyFill="1" applyBorder="1" applyAlignment="1" applyProtection="1">
      <alignment horizontal="left" vertical="center" wrapText="1"/>
      <protection/>
    </xf>
    <xf numFmtId="164" fontId="2" fillId="0" borderId="8" xfId="0" applyNumberFormat="1" applyFont="1" applyFill="1" applyBorder="1" applyAlignment="1" applyProtection="1">
      <alignment horizontal="left" vertical="center" wrapText="1"/>
      <protection/>
    </xf>
    <xf numFmtId="165" fontId="2" fillId="0" borderId="8" xfId="0" applyNumberFormat="1" applyFont="1" applyFill="1" applyBorder="1" applyAlignment="1" applyProtection="1">
      <alignment horizontal="left" vertical="center"/>
      <protection/>
    </xf>
    <xf numFmtId="166" fontId="2" fillId="0" borderId="8" xfId="0" applyNumberFormat="1" applyFont="1" applyFill="1" applyBorder="1" applyAlignment="1" applyProtection="1">
      <alignment horizontal="left" vertical="center"/>
      <protection/>
    </xf>
    <xf numFmtId="164" fontId="2" fillId="0" borderId="9" xfId="0" applyNumberFormat="1" applyFont="1" applyFill="1" applyBorder="1" applyAlignment="1" applyProtection="1">
      <alignment horizontal="left" vertical="center" wrapText="1"/>
      <protection/>
    </xf>
    <xf numFmtId="165" fontId="3" fillId="0" borderId="10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5" fontId="3" fillId="0" borderId="14" xfId="0" applyNumberFormat="1" applyFont="1" applyFill="1" applyBorder="1" applyAlignment="1" applyProtection="1">
      <alignment horizontal="center" vertical="center"/>
      <protection/>
    </xf>
    <xf numFmtId="164" fontId="2" fillId="0" borderId="15" xfId="0" applyNumberFormat="1" applyFont="1" applyFill="1" applyBorder="1" applyAlignment="1" applyProtection="1">
      <alignment vertical="center"/>
      <protection/>
    </xf>
    <xf numFmtId="165" fontId="2" fillId="0" borderId="16" xfId="0" applyNumberFormat="1" applyFont="1" applyFill="1" applyBorder="1" applyAlignment="1" applyProtection="1">
      <alignment horizontal="left" vertical="center"/>
      <protection/>
    </xf>
    <xf numFmtId="165" fontId="2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8" xfId="0" applyNumberFormat="1" applyFont="1" applyFill="1" applyBorder="1" applyAlignment="1" applyProtection="1">
      <alignment horizontal="right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21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2" fillId="2" borderId="23" xfId="0" applyNumberFormat="1" applyFont="1" applyFill="1" applyBorder="1" applyAlignment="1" applyProtection="1">
      <alignment horizontal="left" vertical="center"/>
      <protection/>
    </xf>
    <xf numFmtId="165" fontId="3" fillId="2" borderId="23" xfId="0" applyNumberFormat="1" applyFont="1" applyFill="1" applyBorder="1" applyAlignment="1" applyProtection="1">
      <alignment horizontal="left" vertical="center"/>
      <protection/>
    </xf>
    <xf numFmtId="167" fontId="3" fillId="2" borderId="23" xfId="0" applyNumberFormat="1" applyFont="1" applyFill="1" applyBorder="1" applyAlignment="1" applyProtection="1">
      <alignment horizontal="right" vertical="center"/>
      <protection/>
    </xf>
    <xf numFmtId="165" fontId="3" fillId="2" borderId="23" xfId="0" applyNumberFormat="1" applyFont="1" applyFill="1" applyBorder="1" applyAlignment="1" applyProtection="1">
      <alignment horizontal="right" vertical="center"/>
      <protection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7" fontId="3" fillId="2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7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1" xfId="0" applyNumberFormat="1" applyFont="1" applyFill="1" applyBorder="1" applyAlignment="1" applyProtection="1">
      <alignment horizontal="left" vertical="center"/>
      <protection/>
    </xf>
    <xf numFmtId="167" fontId="4" fillId="0" borderId="1" xfId="0" applyNumberFormat="1" applyFont="1" applyFill="1" applyBorder="1" applyAlignment="1" applyProtection="1">
      <alignment horizontal="right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5" fontId="4" fillId="0" borderId="1" xfId="0" applyNumberFormat="1" applyFont="1" applyFill="1" applyBorder="1" applyAlignment="1" applyProtection="1">
      <alignment horizontal="right" vertical="center"/>
      <protection/>
    </xf>
    <xf numFmtId="164" fontId="2" fillId="0" borderId="3" xfId="0" applyNumberFormat="1" applyFont="1" applyFill="1" applyBorder="1" applyAlignment="1" applyProtection="1">
      <alignment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7" fontId="3" fillId="0" borderId="3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5" fontId="5" fillId="0" borderId="0" xfId="0" applyNumberFormat="1" applyFont="1" applyFill="1" applyBorder="1" applyAlignment="1" applyProtection="1">
      <alignment horizontal="left" vertical="center"/>
      <protection/>
    </xf>
    <xf numFmtId="166" fontId="2" fillId="0" borderId="9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left" vertical="center"/>
      <protection/>
    </xf>
    <xf numFmtId="165" fontId="3" fillId="0" borderId="25" xfId="0" applyNumberFormat="1" applyFont="1" applyFill="1" applyBorder="1" applyAlignment="1" applyProtection="1">
      <alignment horizontal="left" vertical="center"/>
      <protection/>
    </xf>
    <xf numFmtId="165" fontId="3" fillId="0" borderId="26" xfId="0" applyNumberFormat="1" applyFont="1" applyFill="1" applyBorder="1" applyAlignment="1" applyProtection="1">
      <alignment horizontal="left" vertical="center"/>
      <protection/>
    </xf>
    <xf numFmtId="165" fontId="3" fillId="0" borderId="26" xfId="0" applyNumberFormat="1" applyFont="1" applyFill="1" applyBorder="1" applyAlignment="1" applyProtection="1">
      <alignment horizontal="center" vertical="center"/>
      <protection/>
    </xf>
    <xf numFmtId="165" fontId="3" fillId="0" borderId="24" xfId="0" applyNumberFormat="1" applyFont="1" applyFill="1" applyBorder="1" applyAlignment="1" applyProtection="1">
      <alignment horizontal="center" vertical="center"/>
      <protection/>
    </xf>
    <xf numFmtId="165" fontId="2" fillId="0" borderId="23" xfId="0" applyNumberFormat="1" applyFont="1" applyFill="1" applyBorder="1" applyAlignment="1" applyProtection="1">
      <alignment horizontal="left" vertical="center"/>
      <protection/>
    </xf>
    <xf numFmtId="164" fontId="2" fillId="0" borderId="23" xfId="0" applyNumberFormat="1" applyFont="1" applyFill="1" applyBorder="1" applyAlignment="1" applyProtection="1">
      <alignment vertical="center"/>
      <protection/>
    </xf>
    <xf numFmtId="167" fontId="2" fillId="0" borderId="23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4" fontId="0" fillId="0" borderId="0" xfId="0" applyFont="1" applyAlignment="1">
      <alignment horizontal="justify"/>
    </xf>
    <xf numFmtId="164" fontId="2" fillId="0" borderId="4" xfId="0" applyNumberFormat="1" applyFont="1" applyFill="1" applyBorder="1" applyAlignment="1" applyProtection="1">
      <alignment horizontal="justify" vertical="center" wrapText="1"/>
      <protection/>
    </xf>
    <xf numFmtId="164" fontId="2" fillId="0" borderId="6" xfId="0" applyNumberFormat="1" applyFont="1" applyFill="1" applyBorder="1" applyAlignment="1" applyProtection="1">
      <alignment horizontal="justify" vertical="center" wrapText="1"/>
      <protection/>
    </xf>
    <xf numFmtId="166" fontId="2" fillId="0" borderId="9" xfId="0" applyNumberFormat="1" applyFont="1" applyFill="1" applyBorder="1" applyAlignment="1" applyProtection="1">
      <alignment horizontal="justify" vertical="center"/>
      <protection/>
    </xf>
    <xf numFmtId="165" fontId="3" fillId="3" borderId="25" xfId="0" applyNumberFormat="1" applyFont="1" applyFill="1" applyBorder="1" applyAlignment="1" applyProtection="1">
      <alignment horizontal="left" vertical="center"/>
      <protection/>
    </xf>
    <xf numFmtId="165" fontId="3" fillId="3" borderId="26" xfId="0" applyNumberFormat="1" applyFont="1" applyFill="1" applyBorder="1" applyAlignment="1" applyProtection="1">
      <alignment horizontal="left" vertical="center"/>
      <protection/>
    </xf>
    <xf numFmtId="165" fontId="3" fillId="3" borderId="26" xfId="0" applyNumberFormat="1" applyFont="1" applyFill="1" applyBorder="1" applyAlignment="1" applyProtection="1">
      <alignment horizontal="justify" vertical="center"/>
      <protection/>
    </xf>
    <xf numFmtId="165" fontId="3" fillId="3" borderId="26" xfId="0" applyNumberFormat="1" applyFont="1" applyFill="1" applyBorder="1" applyAlignment="1" applyProtection="1">
      <alignment horizontal="right" vertical="center"/>
      <protection/>
    </xf>
    <xf numFmtId="165" fontId="3" fillId="3" borderId="24" xfId="0" applyNumberFormat="1" applyFont="1" applyFill="1" applyBorder="1" applyAlignment="1" applyProtection="1">
      <alignment horizontal="left" vertical="center"/>
      <protection/>
    </xf>
    <xf numFmtId="165" fontId="4" fillId="0" borderId="27" xfId="0" applyNumberFormat="1" applyFont="1" applyFill="1" applyBorder="1" applyAlignment="1" applyProtection="1">
      <alignment horizontal="left" vertical="center"/>
      <protection/>
    </xf>
    <xf numFmtId="165" fontId="4" fillId="0" borderId="27" xfId="0" applyNumberFormat="1" applyFont="1" applyFill="1" applyBorder="1" applyAlignment="1" applyProtection="1">
      <alignment horizontal="justify" vertical="center"/>
      <protection/>
    </xf>
    <xf numFmtId="167" fontId="4" fillId="0" borderId="27" xfId="0" applyNumberFormat="1" applyFont="1" applyFill="1" applyBorder="1" applyAlignment="1" applyProtection="1">
      <alignment horizontal="right" vertical="center"/>
      <protection/>
    </xf>
    <xf numFmtId="165" fontId="4" fillId="0" borderId="27" xfId="0" applyNumberFormat="1" applyFont="1" applyFill="1" applyBorder="1" applyAlignment="1" applyProtection="1">
      <alignment horizontal="right" vertical="center"/>
      <protection/>
    </xf>
    <xf numFmtId="164" fontId="0" fillId="0" borderId="27" xfId="0" applyFont="1" applyBorder="1" applyAlignment="1">
      <alignment/>
    </xf>
    <xf numFmtId="165" fontId="2" fillId="0" borderId="27" xfId="0" applyNumberFormat="1" applyFont="1" applyFill="1" applyBorder="1" applyAlignment="1" applyProtection="1">
      <alignment horizontal="left" vertical="center"/>
      <protection/>
    </xf>
    <xf numFmtId="165" fontId="2" fillId="0" borderId="27" xfId="0" applyNumberFormat="1" applyFont="1" applyFill="1" applyBorder="1" applyAlignment="1" applyProtection="1">
      <alignment horizontal="justify" vertical="center"/>
      <protection/>
    </xf>
    <xf numFmtId="167" fontId="2" fillId="0" borderId="27" xfId="0" applyNumberFormat="1" applyFont="1" applyFill="1" applyBorder="1" applyAlignment="1" applyProtection="1">
      <alignment horizontal="right" vertical="center"/>
      <protection/>
    </xf>
    <xf numFmtId="165" fontId="2" fillId="0" borderId="27" xfId="0" applyNumberFormat="1" applyFont="1" applyFill="1" applyBorder="1" applyAlignment="1" applyProtection="1">
      <alignment horizontal="right" vertical="center"/>
      <protection/>
    </xf>
    <xf numFmtId="164" fontId="4" fillId="0" borderId="27" xfId="0" applyNumberFormat="1" applyFont="1" applyFill="1" applyBorder="1" applyAlignment="1" applyProtection="1">
      <alignment horizontal="left" vertical="center" wrapText="1"/>
      <protection/>
    </xf>
    <xf numFmtId="164" fontId="0" fillId="0" borderId="27" xfId="0" applyFont="1" applyBorder="1" applyAlignment="1">
      <alignment horizontal="justify"/>
    </xf>
    <xf numFmtId="165" fontId="6" fillId="0" borderId="1" xfId="0" applyNumberFormat="1" applyFont="1" applyFill="1" applyBorder="1" applyAlignment="1" applyProtection="1">
      <alignment horizontal="center" vertical="center"/>
      <protection/>
    </xf>
    <xf numFmtId="165" fontId="2" fillId="0" borderId="4" xfId="0" applyNumberFormat="1" applyFont="1" applyFill="1" applyBorder="1" applyAlignment="1" applyProtection="1">
      <alignment horizontal="left" vertical="center"/>
      <protection/>
    </xf>
    <xf numFmtId="165" fontId="2" fillId="0" borderId="6" xfId="0" applyNumberFormat="1" applyFont="1" applyFill="1" applyBorder="1" applyAlignment="1" applyProtection="1">
      <alignment horizontal="left" vertical="center"/>
      <protection/>
    </xf>
    <xf numFmtId="164" fontId="2" fillId="0" borderId="28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NumberFormat="1" applyFont="1" applyFill="1" applyBorder="1" applyAlignment="1" applyProtection="1">
      <alignment horizontal="left" vertical="center" wrapText="1"/>
      <protection/>
    </xf>
    <xf numFmtId="165" fontId="2" fillId="0" borderId="1" xfId="0" applyNumberFormat="1" applyFont="1" applyFill="1" applyBorder="1" applyAlignment="1" applyProtection="1">
      <alignment horizontal="left" vertical="center"/>
      <protection/>
    </xf>
    <xf numFmtId="166" fontId="2" fillId="0" borderId="29" xfId="0" applyNumberFormat="1" applyFont="1" applyFill="1" applyBorder="1" applyAlignment="1" applyProtection="1">
      <alignment horizontal="left" vertical="center"/>
      <protection/>
    </xf>
    <xf numFmtId="165" fontId="7" fillId="0" borderId="30" xfId="0" applyNumberFormat="1" applyFont="1" applyFill="1" applyBorder="1" applyAlignment="1" applyProtection="1">
      <alignment horizontal="center" vertical="center"/>
      <protection/>
    </xf>
    <xf numFmtId="165" fontId="8" fillId="2" borderId="31" xfId="0" applyNumberFormat="1" applyFont="1" applyFill="1" applyBorder="1" applyAlignment="1" applyProtection="1">
      <alignment horizontal="center" vertical="center"/>
      <protection/>
    </xf>
    <xf numFmtId="165" fontId="9" fillId="0" borderId="31" xfId="0" applyNumberFormat="1" applyFont="1" applyFill="1" applyBorder="1" applyAlignment="1" applyProtection="1">
      <alignment horizontal="left" vertical="center"/>
      <protection/>
    </xf>
    <xf numFmtId="165" fontId="10" fillId="0" borderId="32" xfId="0" applyNumberFormat="1" applyFont="1" applyFill="1" applyBorder="1" applyAlignment="1" applyProtection="1">
      <alignment horizontal="left" vertical="center"/>
      <protection/>
    </xf>
    <xf numFmtId="165" fontId="11" fillId="0" borderId="31" xfId="0" applyNumberFormat="1" applyFont="1" applyFill="1" applyBorder="1" applyAlignment="1" applyProtection="1">
      <alignment horizontal="left" vertical="center"/>
      <protection/>
    </xf>
    <xf numFmtId="164" fontId="11" fillId="0" borderId="31" xfId="0" applyNumberFormat="1" applyFont="1" applyFill="1" applyBorder="1" applyAlignment="1" applyProtection="1">
      <alignment horizontal="right" vertical="center"/>
      <protection/>
    </xf>
    <xf numFmtId="165" fontId="10" fillId="0" borderId="33" xfId="0" applyNumberFormat="1" applyFont="1" applyFill="1" applyBorder="1" applyAlignment="1" applyProtection="1">
      <alignment horizontal="left" vertical="center"/>
      <protection/>
    </xf>
    <xf numFmtId="165" fontId="11" fillId="0" borderId="31" xfId="0" applyNumberFormat="1" applyFont="1" applyFill="1" applyBorder="1" applyAlignment="1" applyProtection="1">
      <alignment horizontal="right" vertical="center"/>
      <protection/>
    </xf>
    <xf numFmtId="165" fontId="10" fillId="0" borderId="31" xfId="0" applyNumberFormat="1" applyFont="1" applyFill="1" applyBorder="1" applyAlignment="1" applyProtection="1">
      <alignment horizontal="left" vertical="center"/>
      <protection/>
    </xf>
    <xf numFmtId="164" fontId="2" fillId="0" borderId="30" xfId="0" applyNumberFormat="1" applyFont="1" applyFill="1" applyBorder="1" applyAlignment="1" applyProtection="1">
      <alignment vertical="center"/>
      <protection/>
    </xf>
    <xf numFmtId="165" fontId="10" fillId="2" borderId="34" xfId="0" applyNumberFormat="1" applyFont="1" applyFill="1" applyBorder="1" applyAlignment="1" applyProtection="1">
      <alignment horizontal="left" vertical="center"/>
      <protection/>
    </xf>
    <xf numFmtId="164" fontId="10" fillId="2" borderId="35" xfId="0" applyNumberFormat="1" applyFont="1" applyFill="1" applyBorder="1" applyAlignment="1" applyProtection="1">
      <alignment horizontal="right" vertical="center"/>
      <protection/>
    </xf>
    <xf numFmtId="164" fontId="2" fillId="0" borderId="28" xfId="0" applyNumberFormat="1" applyFont="1" applyFill="1" applyBorder="1" applyAlignment="1" applyProtection="1">
      <alignment vertical="center"/>
      <protection/>
    </xf>
    <xf numFmtId="164" fontId="2" fillId="0" borderId="36" xfId="0" applyNumberFormat="1" applyFont="1" applyFill="1" applyBorder="1" applyAlignment="1" applyProtection="1">
      <alignment vertical="center"/>
      <protection/>
    </xf>
    <xf numFmtId="165" fontId="11" fillId="0" borderId="14" xfId="0" applyNumberFormat="1" applyFont="1" applyFill="1" applyBorder="1" applyAlignment="1" applyProtection="1">
      <alignment horizontal="left" vertical="center"/>
      <protection/>
    </xf>
    <xf numFmtId="165" fontId="11" fillId="0" borderId="37" xfId="0" applyNumberFormat="1" applyFont="1" applyFill="1" applyBorder="1" applyAlignment="1" applyProtection="1">
      <alignment horizontal="left" vertical="center"/>
      <protection/>
    </xf>
    <xf numFmtId="165" fontId="11" fillId="0" borderId="22" xfId="0" applyNumberFormat="1" applyFont="1" applyFill="1" applyBorder="1" applyAlignment="1" applyProtection="1">
      <alignment horizontal="left" vertical="center"/>
      <protection/>
    </xf>
    <xf numFmtId="165" fontId="5" fillId="0" borderId="23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6.8515625" style="1" customWidth="1"/>
    <col min="3" max="3" width="13.28125" style="1" customWidth="1"/>
    <col min="4" max="4" width="75.140625" style="1" customWidth="1"/>
    <col min="5" max="5" width="7.00390625" style="1" customWidth="1"/>
    <col min="6" max="6" width="10.8515625" style="1" customWidth="1"/>
    <col min="7" max="7" width="12.00390625" style="1" customWidth="1"/>
    <col min="8" max="10" width="14.28125" style="1" customWidth="1"/>
    <col min="11" max="13" width="11.7109375" style="1" customWidth="1"/>
    <col min="14" max="37" width="0" style="1" hidden="1" customWidth="1"/>
    <col min="38" max="16384" width="11.57421875" style="0" customWidth="1"/>
  </cols>
  <sheetData>
    <row r="1" spans="1:13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 customHeight="1">
      <c r="A2" s="3" t="s">
        <v>1</v>
      </c>
      <c r="B2" s="3"/>
      <c r="C2" s="3"/>
      <c r="D2" s="4" t="s">
        <v>2</v>
      </c>
      <c r="E2" s="5" t="s">
        <v>3</v>
      </c>
      <c r="F2" s="5"/>
      <c r="G2" s="5"/>
      <c r="H2" s="5"/>
      <c r="I2" s="6" t="s">
        <v>4</v>
      </c>
      <c r="J2" s="7" t="s">
        <v>5</v>
      </c>
      <c r="K2" s="7"/>
      <c r="L2" s="7"/>
      <c r="M2" s="7"/>
      <c r="N2" s="8"/>
    </row>
    <row r="3" spans="1:14" ht="12.75">
      <c r="A3" s="3"/>
      <c r="B3" s="3"/>
      <c r="C3" s="3"/>
      <c r="D3" s="4"/>
      <c r="E3" s="5"/>
      <c r="F3" s="5"/>
      <c r="G3" s="5"/>
      <c r="H3" s="5"/>
      <c r="I3" s="6"/>
      <c r="J3" s="6"/>
      <c r="K3" s="7"/>
      <c r="L3" s="7"/>
      <c r="M3" s="7"/>
      <c r="N3" s="8"/>
    </row>
    <row r="4" spans="1:14" ht="12.75" customHeight="1">
      <c r="A4" s="9" t="s">
        <v>6</v>
      </c>
      <c r="B4" s="9"/>
      <c r="C4" s="9"/>
      <c r="D4" s="10"/>
      <c r="E4" s="11" t="s">
        <v>7</v>
      </c>
      <c r="F4" s="11"/>
      <c r="G4" s="11" t="s">
        <v>8</v>
      </c>
      <c r="H4" s="11"/>
      <c r="I4" s="10" t="s">
        <v>9</v>
      </c>
      <c r="J4" s="12" t="s">
        <v>10</v>
      </c>
      <c r="K4" s="12"/>
      <c r="L4" s="12"/>
      <c r="M4" s="12"/>
      <c r="N4" s="8"/>
    </row>
    <row r="5" spans="1:14" ht="12.75">
      <c r="A5" s="9"/>
      <c r="B5" s="9"/>
      <c r="C5" s="9"/>
      <c r="D5" s="10"/>
      <c r="E5" s="10"/>
      <c r="F5" s="11"/>
      <c r="G5" s="11"/>
      <c r="H5" s="11"/>
      <c r="I5" s="10"/>
      <c r="J5" s="10"/>
      <c r="K5" s="12"/>
      <c r="L5" s="12"/>
      <c r="M5" s="12"/>
      <c r="N5" s="8"/>
    </row>
    <row r="6" spans="1:14" ht="12.75" customHeight="1">
      <c r="A6" s="9" t="s">
        <v>11</v>
      </c>
      <c r="B6" s="9"/>
      <c r="C6" s="9"/>
      <c r="D6" s="10" t="s">
        <v>12</v>
      </c>
      <c r="E6" s="11" t="s">
        <v>13</v>
      </c>
      <c r="F6" s="11"/>
      <c r="G6" s="13"/>
      <c r="H6" s="13"/>
      <c r="I6" s="10" t="s">
        <v>14</v>
      </c>
      <c r="J6" s="12"/>
      <c r="K6" s="12"/>
      <c r="L6" s="12"/>
      <c r="M6" s="12"/>
      <c r="N6" s="8"/>
    </row>
    <row r="7" spans="1:14" ht="12.75">
      <c r="A7" s="9"/>
      <c r="B7" s="9"/>
      <c r="C7" s="9"/>
      <c r="D7" s="10"/>
      <c r="E7" s="10"/>
      <c r="F7" s="11"/>
      <c r="G7" s="13"/>
      <c r="H7" s="13"/>
      <c r="I7" s="10"/>
      <c r="J7" s="10"/>
      <c r="K7" s="12"/>
      <c r="L7" s="12"/>
      <c r="M7" s="12"/>
      <c r="N7" s="8"/>
    </row>
    <row r="8" spans="1:14" ht="12.75" customHeight="1">
      <c r="A8" s="14" t="s">
        <v>15</v>
      </c>
      <c r="B8" s="14"/>
      <c r="C8" s="14"/>
      <c r="D8" s="15"/>
      <c r="E8" s="16" t="s">
        <v>16</v>
      </c>
      <c r="F8" s="16"/>
      <c r="G8" s="17">
        <v>41571</v>
      </c>
      <c r="H8" s="17"/>
      <c r="I8" s="15" t="s">
        <v>17</v>
      </c>
      <c r="J8" s="18" t="s">
        <v>18</v>
      </c>
      <c r="K8" s="18"/>
      <c r="L8" s="18"/>
      <c r="M8" s="18"/>
      <c r="N8" s="8"/>
    </row>
    <row r="9" spans="1:14" ht="12.75">
      <c r="A9" s="14"/>
      <c r="B9" s="14"/>
      <c r="C9" s="14"/>
      <c r="D9" s="15"/>
      <c r="E9" s="15"/>
      <c r="F9" s="16"/>
      <c r="G9" s="17"/>
      <c r="H9" s="17"/>
      <c r="I9" s="15"/>
      <c r="J9" s="15"/>
      <c r="K9" s="18"/>
      <c r="L9" s="18"/>
      <c r="M9" s="18"/>
      <c r="N9" s="8"/>
    </row>
    <row r="10" spans="1:14" ht="12.75">
      <c r="A10" s="19" t="s">
        <v>19</v>
      </c>
      <c r="B10" s="20" t="s">
        <v>20</v>
      </c>
      <c r="C10" s="20" t="s">
        <v>21</v>
      </c>
      <c r="D10" s="20" t="s">
        <v>22</v>
      </c>
      <c r="E10" s="20" t="s">
        <v>23</v>
      </c>
      <c r="F10" s="21" t="s">
        <v>24</v>
      </c>
      <c r="G10" s="22" t="s">
        <v>25</v>
      </c>
      <c r="H10" s="23" t="s">
        <v>26</v>
      </c>
      <c r="I10" s="23"/>
      <c r="J10" s="23"/>
      <c r="K10" s="23" t="s">
        <v>27</v>
      </c>
      <c r="L10" s="23"/>
      <c r="M10" s="24" t="s">
        <v>28</v>
      </c>
      <c r="N10" s="25"/>
    </row>
    <row r="11" spans="1:24" ht="12.75">
      <c r="A11" s="26" t="s">
        <v>8</v>
      </c>
      <c r="B11" s="27" t="s">
        <v>8</v>
      </c>
      <c r="C11" s="27" t="s">
        <v>8</v>
      </c>
      <c r="D11" s="28" t="s">
        <v>29</v>
      </c>
      <c r="E11" s="27" t="s">
        <v>8</v>
      </c>
      <c r="F11" s="27" t="s">
        <v>8</v>
      </c>
      <c r="G11" s="29" t="s">
        <v>30</v>
      </c>
      <c r="H11" s="30" t="s">
        <v>31</v>
      </c>
      <c r="I11" s="31" t="s">
        <v>32</v>
      </c>
      <c r="J11" s="32" t="s">
        <v>33</v>
      </c>
      <c r="K11" s="30" t="s">
        <v>25</v>
      </c>
      <c r="L11" s="32" t="s">
        <v>33</v>
      </c>
      <c r="M11" s="33" t="s">
        <v>34</v>
      </c>
      <c r="N11" s="25"/>
      <c r="P11" s="34" t="s">
        <v>35</v>
      </c>
      <c r="Q11" s="34" t="s">
        <v>36</v>
      </c>
      <c r="R11" s="34" t="s">
        <v>37</v>
      </c>
      <c r="S11" s="34" t="s">
        <v>38</v>
      </c>
      <c r="T11" s="34" t="s">
        <v>39</v>
      </c>
      <c r="U11" s="34" t="s">
        <v>40</v>
      </c>
      <c r="V11" s="34" t="s">
        <v>41</v>
      </c>
      <c r="W11" s="34" t="s">
        <v>42</v>
      </c>
      <c r="X11" s="34" t="s">
        <v>43</v>
      </c>
    </row>
    <row r="12" spans="1:13" ht="12.75">
      <c r="A12" s="35"/>
      <c r="B12" s="36"/>
      <c r="C12" s="36"/>
      <c r="D12" s="36" t="s">
        <v>44</v>
      </c>
      <c r="E12" s="36"/>
      <c r="F12" s="36"/>
      <c r="G12" s="36"/>
      <c r="H12" s="37">
        <f>H13+H18+H23+H31+H34+H45+H72+H93+H97+H111+H117+H127+H130+H147+H153+H155+H174+H179+H182+H191+H193</f>
        <v>0</v>
      </c>
      <c r="I12" s="37">
        <f>I13+I18+I23+I31+I34+I45+I72+I93+I97+I111+I117+I127+I130+I147+I153+I155+I174+I179+I182+I191+I193</f>
        <v>0</v>
      </c>
      <c r="J12" s="37">
        <f>H12+I12</f>
        <v>0</v>
      </c>
      <c r="K12" s="38"/>
      <c r="L12" s="37">
        <f>L13+L18+L23+L31+L34+L45+L72+L93+L97+L111+L117+L127+L130+L147+L153+L155+L174+L179+L182+L191+L193</f>
        <v>35.3481295</v>
      </c>
      <c r="M12" s="38"/>
    </row>
    <row r="13" spans="1:37" ht="12.75">
      <c r="A13" s="39"/>
      <c r="B13" s="40"/>
      <c r="C13" s="40" t="s">
        <v>45</v>
      </c>
      <c r="D13" s="40" t="s">
        <v>46</v>
      </c>
      <c r="E13" s="40"/>
      <c r="F13" s="40"/>
      <c r="G13" s="40"/>
      <c r="H13" s="41">
        <f>SUM(H14:H17)</f>
        <v>0</v>
      </c>
      <c r="I13" s="41">
        <f>SUM(I14:I17)</f>
        <v>0</v>
      </c>
      <c r="J13" s="41">
        <f>H13+I13</f>
        <v>0</v>
      </c>
      <c r="K13" s="34"/>
      <c r="L13" s="41">
        <f>SUM(L14:L17)</f>
        <v>4.1756544</v>
      </c>
      <c r="M13" s="34"/>
      <c r="P13" s="41">
        <f>IF(Q13="PR",J13,SUM(O14:O17))</f>
        <v>0</v>
      </c>
      <c r="Q13" s="34" t="s">
        <v>47</v>
      </c>
      <c r="R13" s="41">
        <f>IF(Q13="HS",H13,0)</f>
        <v>0</v>
      </c>
      <c r="S13" s="41">
        <f>IF(Q13="HS",I13-P13,0)</f>
        <v>0</v>
      </c>
      <c r="T13" s="41">
        <f>IF(Q13="PS",H13,0)</f>
        <v>0</v>
      </c>
      <c r="U13" s="41">
        <f>IF(Q13="PS",I13-P13,0)</f>
        <v>0</v>
      </c>
      <c r="V13" s="41">
        <f>IF(Q13="MP",H13,0)</f>
        <v>0</v>
      </c>
      <c r="W13" s="41">
        <f>IF(Q13="MP",I13-P13,0)</f>
        <v>0</v>
      </c>
      <c r="X13" s="41">
        <f>IF(Q13="OM",H13,0)</f>
        <v>0</v>
      </c>
      <c r="Y13" s="34"/>
      <c r="AI13" s="41">
        <f>SUM(Z14:Z17)</f>
        <v>0</v>
      </c>
      <c r="AJ13" s="41">
        <f>SUM(AA14:AA17)</f>
        <v>0</v>
      </c>
      <c r="AK13" s="41">
        <f>SUM(AB14:AB17)</f>
        <v>0</v>
      </c>
    </row>
    <row r="14" spans="1:32" ht="12.75">
      <c r="A14" s="42" t="s">
        <v>48</v>
      </c>
      <c r="B14" s="42"/>
      <c r="C14" s="42" t="s">
        <v>49</v>
      </c>
      <c r="D14" s="42" t="s">
        <v>50</v>
      </c>
      <c r="E14" s="42" t="s">
        <v>51</v>
      </c>
      <c r="F14" s="43">
        <v>22.66</v>
      </c>
      <c r="H14" s="43">
        <f>ROUND(F14*AE14,2)</f>
        <v>0</v>
      </c>
      <c r="I14" s="43">
        <f>J14-H14</f>
        <v>0</v>
      </c>
      <c r="J14" s="43">
        <f>ROUND(F14*G14,2)</f>
        <v>0</v>
      </c>
      <c r="K14" s="43">
        <v>0.13965</v>
      </c>
      <c r="L14" s="43">
        <f>F14*K14</f>
        <v>3.164469</v>
      </c>
      <c r="M14" s="44" t="s">
        <v>52</v>
      </c>
      <c r="N14" s="44" t="s">
        <v>48</v>
      </c>
      <c r="O14" s="43">
        <f>IF(N14="5",I14,0)</f>
        <v>0</v>
      </c>
      <c r="Z14" s="43">
        <f>IF(AD14=0,J14,0)</f>
        <v>0</v>
      </c>
      <c r="AA14" s="43">
        <f>IF(AD14=15,J14,0)</f>
        <v>0</v>
      </c>
      <c r="AB14" s="43">
        <f>IF(AD14=21,J14,0)</f>
        <v>0</v>
      </c>
      <c r="AD14" s="45">
        <v>21</v>
      </c>
      <c r="AE14" s="45">
        <f>G14*0.645639239346011</f>
        <v>0</v>
      </c>
      <c r="AF14" s="45">
        <f>G14*(1-0.645639239346011)</f>
        <v>0</v>
      </c>
    </row>
    <row r="15" spans="1:32" ht="12.75">
      <c r="A15" s="42" t="s">
        <v>53</v>
      </c>
      <c r="B15" s="42"/>
      <c r="C15" s="42" t="s">
        <v>54</v>
      </c>
      <c r="D15" s="42" t="s">
        <v>55</v>
      </c>
      <c r="E15" s="42" t="s">
        <v>51</v>
      </c>
      <c r="F15" s="43">
        <v>10.23</v>
      </c>
      <c r="H15" s="43">
        <f>ROUND(F15*AE15,2)</f>
        <v>0</v>
      </c>
      <c r="I15" s="43">
        <f>J15-H15</f>
        <v>0</v>
      </c>
      <c r="J15" s="43">
        <f>ROUND(F15*G15,2)</f>
        <v>0</v>
      </c>
      <c r="K15" s="43">
        <v>0.09298</v>
      </c>
      <c r="L15" s="43">
        <f>F15*K15</f>
        <v>0.9511854</v>
      </c>
      <c r="M15" s="44" t="s">
        <v>52</v>
      </c>
      <c r="N15" s="44" t="s">
        <v>48</v>
      </c>
      <c r="O15" s="43">
        <f>IF(N15="5",I15,0)</f>
        <v>0</v>
      </c>
      <c r="Z15" s="43">
        <f>IF(AD15=0,J15,0)</f>
        <v>0</v>
      </c>
      <c r="AA15" s="43">
        <f>IF(AD15=15,J15,0)</f>
        <v>0</v>
      </c>
      <c r="AB15" s="43">
        <f>IF(AD15=21,J15,0)</f>
        <v>0</v>
      </c>
      <c r="AD15" s="45">
        <v>21</v>
      </c>
      <c r="AE15" s="45">
        <f>G15*0.579605263157895</f>
        <v>0</v>
      </c>
      <c r="AF15" s="45">
        <f>G15*(1-0.579605263157895)</f>
        <v>0</v>
      </c>
    </row>
    <row r="16" spans="1:32" ht="12.75">
      <c r="A16" s="11" t="s">
        <v>56</v>
      </c>
      <c r="B16" s="11"/>
      <c r="C16" s="11" t="s">
        <v>57</v>
      </c>
      <c r="D16" s="11" t="s">
        <v>58</v>
      </c>
      <c r="E16" s="11" t="s">
        <v>59</v>
      </c>
      <c r="F16" s="45">
        <v>0.06</v>
      </c>
      <c r="H16" s="45">
        <f>ROUND(F16*AE16,2)</f>
        <v>0</v>
      </c>
      <c r="I16" s="45">
        <f>J16-H16</f>
        <v>0</v>
      </c>
      <c r="J16" s="45">
        <f>ROUND(F16*G16,2)</f>
        <v>0</v>
      </c>
      <c r="K16" s="45">
        <v>1</v>
      </c>
      <c r="L16" s="45">
        <f>F16*K16</f>
        <v>0.06</v>
      </c>
      <c r="M16" s="46" t="s">
        <v>52</v>
      </c>
      <c r="N16" s="46" t="s">
        <v>60</v>
      </c>
      <c r="O16" s="45">
        <f>IF(N16="5",I16,0)</f>
        <v>0</v>
      </c>
      <c r="Z16" s="45">
        <f>IF(AD16=0,J16,0)</f>
        <v>0</v>
      </c>
      <c r="AA16" s="45">
        <f>IF(AD16=15,J16,0)</f>
        <v>0</v>
      </c>
      <c r="AB16" s="45">
        <f>IF(AD16=21,J16,0)</f>
        <v>0</v>
      </c>
      <c r="AD16" s="45">
        <v>21</v>
      </c>
      <c r="AE16" s="45">
        <f>G16*1</f>
        <v>0</v>
      </c>
      <c r="AF16" s="45">
        <f>G16*(1-1)</f>
        <v>0</v>
      </c>
    </row>
    <row r="17" spans="1:32" ht="12.75">
      <c r="A17" s="42" t="s">
        <v>61</v>
      </c>
      <c r="B17" s="42"/>
      <c r="C17" s="42" t="s">
        <v>62</v>
      </c>
      <c r="D17" s="42" t="s">
        <v>63</v>
      </c>
      <c r="E17" s="42" t="s">
        <v>64</v>
      </c>
      <c r="F17" s="43">
        <v>4.17565</v>
      </c>
      <c r="H17" s="43">
        <f>ROUND(F17*AE17,2)</f>
        <v>0</v>
      </c>
      <c r="I17" s="43">
        <f>J17-H17</f>
        <v>0</v>
      </c>
      <c r="J17" s="43">
        <f>ROUND(F17*G17,2)</f>
        <v>0</v>
      </c>
      <c r="K17" s="43">
        <v>0</v>
      </c>
      <c r="L17" s="43">
        <f>F17*K17</f>
        <v>0</v>
      </c>
      <c r="M17" s="44" t="s">
        <v>52</v>
      </c>
      <c r="N17" s="44" t="s">
        <v>65</v>
      </c>
      <c r="O17" s="43">
        <f>IF(N17="5",I17,0)</f>
        <v>0</v>
      </c>
      <c r="Z17" s="43">
        <f>IF(AD17=0,J17,0)</f>
        <v>0</v>
      </c>
      <c r="AA17" s="43">
        <f>IF(AD17=15,J17,0)</f>
        <v>0</v>
      </c>
      <c r="AB17" s="43">
        <f>IF(AD17=21,J17,0)</f>
        <v>0</v>
      </c>
      <c r="AD17" s="45">
        <v>21</v>
      </c>
      <c r="AE17" s="45">
        <f>G17*0</f>
        <v>0</v>
      </c>
      <c r="AF17" s="45">
        <f>G17*(1-0)</f>
        <v>0</v>
      </c>
    </row>
    <row r="18" spans="1:37" ht="12.75">
      <c r="A18" s="39"/>
      <c r="B18" s="40"/>
      <c r="C18" s="40" t="s">
        <v>66</v>
      </c>
      <c r="D18" s="40" t="s">
        <v>67</v>
      </c>
      <c r="E18" s="40"/>
      <c r="F18" s="40"/>
      <c r="G18" s="40"/>
      <c r="H18" s="41">
        <f>SUM(H19:H22)</f>
        <v>0</v>
      </c>
      <c r="I18" s="41">
        <f>SUM(I19:I22)</f>
        <v>0</v>
      </c>
      <c r="J18" s="41">
        <f>H18+I18</f>
        <v>0</v>
      </c>
      <c r="K18" s="34"/>
      <c r="L18" s="41">
        <f>SUM(L19:L22)</f>
        <v>0.019555200000000002</v>
      </c>
      <c r="M18" s="34"/>
      <c r="P18" s="41">
        <f>IF(Q18="PR",J18,SUM(O19:O22))</f>
        <v>0</v>
      </c>
      <c r="Q18" s="34" t="s">
        <v>47</v>
      </c>
      <c r="R18" s="41">
        <f>IF(Q18="HS",H18,0)</f>
        <v>0</v>
      </c>
      <c r="S18" s="41">
        <f>IF(Q18="HS",I18-P18,0)</f>
        <v>0</v>
      </c>
      <c r="T18" s="41">
        <f>IF(Q18="PS",H18,0)</f>
        <v>0</v>
      </c>
      <c r="U18" s="41">
        <f>IF(Q18="PS",I18-P18,0)</f>
        <v>0</v>
      </c>
      <c r="V18" s="41">
        <f>IF(Q18="MP",H18,0)</f>
        <v>0</v>
      </c>
      <c r="W18" s="41">
        <f>IF(Q18="MP",I18-P18,0)</f>
        <v>0</v>
      </c>
      <c r="X18" s="41">
        <f>IF(Q18="OM",H18,0)</f>
        <v>0</v>
      </c>
      <c r="Y18" s="34"/>
      <c r="AI18" s="41">
        <f>SUM(Z19:Z22)</f>
        <v>0</v>
      </c>
      <c r="AJ18" s="41">
        <f>SUM(AA19:AA22)</f>
        <v>0</v>
      </c>
      <c r="AK18" s="41">
        <f>SUM(AB19:AB22)</f>
        <v>0</v>
      </c>
    </row>
    <row r="19" spans="1:32" ht="12.75">
      <c r="A19" s="42" t="s">
        <v>65</v>
      </c>
      <c r="B19" s="42"/>
      <c r="C19" s="42" t="s">
        <v>68</v>
      </c>
      <c r="D19" s="42" t="s">
        <v>69</v>
      </c>
      <c r="E19" s="42" t="s">
        <v>51</v>
      </c>
      <c r="F19" s="43">
        <v>1.44</v>
      </c>
      <c r="H19" s="43">
        <f>ROUND(F19*AE19,2)</f>
        <v>0</v>
      </c>
      <c r="I19" s="43">
        <f>J19-H19</f>
        <v>0</v>
      </c>
      <c r="J19" s="43">
        <f>ROUND(F19*G19,2)</f>
        <v>0</v>
      </c>
      <c r="K19" s="43">
        <v>0.01183</v>
      </c>
      <c r="L19" s="43">
        <f>F19*K19</f>
        <v>0.0170352</v>
      </c>
      <c r="M19" s="44" t="s">
        <v>52</v>
      </c>
      <c r="N19" s="44" t="s">
        <v>48</v>
      </c>
      <c r="O19" s="43">
        <f>IF(N19="5",I19,0)</f>
        <v>0</v>
      </c>
      <c r="Z19" s="43">
        <f>IF(AD19=0,J19,0)</f>
        <v>0</v>
      </c>
      <c r="AA19" s="43">
        <f>IF(AD19=15,J19,0)</f>
        <v>0</v>
      </c>
      <c r="AB19" s="43">
        <f>IF(AD19=21,J19,0)</f>
        <v>0</v>
      </c>
      <c r="AD19" s="45">
        <v>21</v>
      </c>
      <c r="AE19" s="45">
        <f>G19*0.343737574552684</f>
        <v>0</v>
      </c>
      <c r="AF19" s="45">
        <f>G19*(1-0.343737574552684)</f>
        <v>0</v>
      </c>
    </row>
    <row r="20" ht="12.75">
      <c r="D20" s="10" t="s">
        <v>70</v>
      </c>
    </row>
    <row r="21" spans="1:32" ht="12.75">
      <c r="A21" s="11" t="s">
        <v>71</v>
      </c>
      <c r="B21" s="11"/>
      <c r="C21" s="11" t="s">
        <v>72</v>
      </c>
      <c r="D21" s="11" t="s">
        <v>73</v>
      </c>
      <c r="E21" s="11" t="s">
        <v>51</v>
      </c>
      <c r="F21" s="45">
        <v>1.44</v>
      </c>
      <c r="H21" s="45">
        <f>ROUND(F21*AE21,2)</f>
        <v>0</v>
      </c>
      <c r="I21" s="45">
        <f>J21-H21</f>
        <v>0</v>
      </c>
      <c r="J21" s="45">
        <f>ROUND(F21*G21,2)</f>
        <v>0</v>
      </c>
      <c r="K21" s="45">
        <v>0.00175</v>
      </c>
      <c r="L21" s="45">
        <f>F21*K21</f>
        <v>0.00252</v>
      </c>
      <c r="M21" s="46" t="s">
        <v>52</v>
      </c>
      <c r="N21" s="46" t="s">
        <v>60</v>
      </c>
      <c r="O21" s="45">
        <f>IF(N21="5",I21,0)</f>
        <v>0</v>
      </c>
      <c r="Z21" s="45">
        <f>IF(AD21=0,J21,0)</f>
        <v>0</v>
      </c>
      <c r="AA21" s="45">
        <f>IF(AD21=15,J21,0)</f>
        <v>0</v>
      </c>
      <c r="AB21" s="45">
        <f>IF(AD21=21,J21,0)</f>
        <v>0</v>
      </c>
      <c r="AD21" s="45">
        <v>21</v>
      </c>
      <c r="AE21" s="45">
        <f>G21*1</f>
        <v>0</v>
      </c>
      <c r="AF21" s="45">
        <f>G21*(1-1)</f>
        <v>0</v>
      </c>
    </row>
    <row r="22" spans="1:32" ht="12.75">
      <c r="A22" s="42" t="s">
        <v>74</v>
      </c>
      <c r="B22" s="42"/>
      <c r="C22" s="42" t="s">
        <v>62</v>
      </c>
      <c r="D22" s="42" t="s">
        <v>63</v>
      </c>
      <c r="E22" s="42" t="s">
        <v>64</v>
      </c>
      <c r="F22" s="43">
        <v>0.01956</v>
      </c>
      <c r="H22" s="43">
        <f>ROUND(F22*AE22,2)</f>
        <v>0</v>
      </c>
      <c r="I22" s="43">
        <f>J22-H22</f>
        <v>0</v>
      </c>
      <c r="J22" s="43">
        <f>ROUND(F22*G22,2)</f>
        <v>0</v>
      </c>
      <c r="K22" s="43">
        <v>0</v>
      </c>
      <c r="L22" s="43">
        <f>F22*K22</f>
        <v>0</v>
      </c>
      <c r="M22" s="44" t="s">
        <v>52</v>
      </c>
      <c r="N22" s="44" t="s">
        <v>65</v>
      </c>
      <c r="O22" s="43">
        <f>IF(N22="5",I22,0)</f>
        <v>0</v>
      </c>
      <c r="Z22" s="43">
        <f>IF(AD22=0,J22,0)</f>
        <v>0</v>
      </c>
      <c r="AA22" s="43">
        <f>IF(AD22=15,J22,0)</f>
        <v>0</v>
      </c>
      <c r="AB22" s="43">
        <f>IF(AD22=21,J22,0)</f>
        <v>0</v>
      </c>
      <c r="AD22" s="45">
        <v>21</v>
      </c>
      <c r="AE22" s="45">
        <f>G22*0</f>
        <v>0</v>
      </c>
      <c r="AF22" s="45">
        <f>G22*(1-0)</f>
        <v>0</v>
      </c>
    </row>
    <row r="23" spans="1:37" ht="12.75">
      <c r="A23" s="39"/>
      <c r="B23" s="40"/>
      <c r="C23" s="40" t="s">
        <v>75</v>
      </c>
      <c r="D23" s="40" t="s">
        <v>76</v>
      </c>
      <c r="E23" s="40"/>
      <c r="F23" s="40"/>
      <c r="G23" s="40"/>
      <c r="H23" s="41">
        <f>SUM(H24:H30)</f>
        <v>0</v>
      </c>
      <c r="I23" s="41">
        <f>SUM(I24:I30)</f>
        <v>0</v>
      </c>
      <c r="J23" s="41">
        <f>H23+I23</f>
        <v>0</v>
      </c>
      <c r="K23" s="34"/>
      <c r="L23" s="41">
        <f>SUM(L24:L30)</f>
        <v>1.5174104</v>
      </c>
      <c r="M23" s="34"/>
      <c r="P23" s="41">
        <f>IF(Q23="PR",J23,SUM(O24:O30))</f>
        <v>0</v>
      </c>
      <c r="Q23" s="34" t="s">
        <v>47</v>
      </c>
      <c r="R23" s="41">
        <f>IF(Q23="HS",H23,0)</f>
        <v>0</v>
      </c>
      <c r="S23" s="41">
        <f>IF(Q23="HS",I23-P23,0)</f>
        <v>0</v>
      </c>
      <c r="T23" s="41">
        <f>IF(Q23="PS",H23,0)</f>
        <v>0</v>
      </c>
      <c r="U23" s="41">
        <f>IF(Q23="PS",I23-P23,0)</f>
        <v>0</v>
      </c>
      <c r="V23" s="41">
        <f>IF(Q23="MP",H23,0)</f>
        <v>0</v>
      </c>
      <c r="W23" s="41">
        <f>IF(Q23="MP",I23-P23,0)</f>
        <v>0</v>
      </c>
      <c r="X23" s="41">
        <f>IF(Q23="OM",H23,0)</f>
        <v>0</v>
      </c>
      <c r="Y23" s="34"/>
      <c r="AI23" s="41">
        <f>SUM(Z24:Z30)</f>
        <v>0</v>
      </c>
      <c r="AJ23" s="41">
        <f>SUM(AA24:AA30)</f>
        <v>0</v>
      </c>
      <c r="AK23" s="41">
        <f>SUM(AB24:AB30)</f>
        <v>0</v>
      </c>
    </row>
    <row r="24" spans="1:32" ht="12.75">
      <c r="A24" s="42" t="s">
        <v>77</v>
      </c>
      <c r="B24" s="42"/>
      <c r="C24" s="42" t="s">
        <v>78</v>
      </c>
      <c r="D24" s="42" t="s">
        <v>79</v>
      </c>
      <c r="E24" s="42" t="s">
        <v>51</v>
      </c>
      <c r="F24" s="43">
        <v>200.21</v>
      </c>
      <c r="H24" s="43">
        <f>ROUND(F24*AE24,2)</f>
        <v>0</v>
      </c>
      <c r="I24" s="43">
        <f>J24-H24</f>
        <v>0</v>
      </c>
      <c r="J24" s="43">
        <f>ROUND(F24*G24,2)</f>
        <v>0</v>
      </c>
      <c r="K24" s="43">
        <v>0.004</v>
      </c>
      <c r="L24" s="43">
        <f>F24*K24</f>
        <v>0.80084</v>
      </c>
      <c r="M24" s="44" t="s">
        <v>52</v>
      </c>
      <c r="N24" s="44" t="s">
        <v>56</v>
      </c>
      <c r="O24" s="43">
        <f>IF(N24="5",I24,0)</f>
        <v>0</v>
      </c>
      <c r="Z24" s="43">
        <f>IF(AD24=0,J24,0)</f>
        <v>0</v>
      </c>
      <c r="AA24" s="43">
        <f>IF(AD24=15,J24,0)</f>
        <v>0</v>
      </c>
      <c r="AB24" s="43">
        <f>IF(AD24=21,J24,0)</f>
        <v>0</v>
      </c>
      <c r="AD24" s="45">
        <v>21</v>
      </c>
      <c r="AE24" s="45">
        <f>G24*0.075375</f>
        <v>0</v>
      </c>
      <c r="AF24" s="45">
        <f>G24*(1-0.075375)</f>
        <v>0</v>
      </c>
    </row>
    <row r="25" ht="12.75">
      <c r="D25" s="10" t="s">
        <v>80</v>
      </c>
    </row>
    <row r="26" spans="1:32" ht="12.75">
      <c r="A26" s="42" t="s">
        <v>81</v>
      </c>
      <c r="B26" s="42"/>
      <c r="C26" s="42" t="s">
        <v>82</v>
      </c>
      <c r="D26" s="42" t="s">
        <v>83</v>
      </c>
      <c r="E26" s="42" t="s">
        <v>51</v>
      </c>
      <c r="F26" s="43">
        <v>14.28</v>
      </c>
      <c r="H26" s="43">
        <f>ROUND(F26*AE26,2)</f>
        <v>0</v>
      </c>
      <c r="I26" s="43">
        <f>J26-H26</f>
        <v>0</v>
      </c>
      <c r="J26" s="43">
        <f>ROUND(F26*G26,2)</f>
        <v>0</v>
      </c>
      <c r="K26" s="43">
        <v>0.00252</v>
      </c>
      <c r="L26" s="43">
        <f>F26*K26</f>
        <v>0.0359856</v>
      </c>
      <c r="M26" s="44" t="s">
        <v>52</v>
      </c>
      <c r="N26" s="44" t="s">
        <v>48</v>
      </c>
      <c r="O26" s="43">
        <f>IF(N26="5",I26,0)</f>
        <v>0</v>
      </c>
      <c r="Z26" s="43">
        <f>IF(AD26=0,J26,0)</f>
        <v>0</v>
      </c>
      <c r="AA26" s="43">
        <f>IF(AD26=15,J26,0)</f>
        <v>0</v>
      </c>
      <c r="AB26" s="43">
        <f>IF(AD26=21,J26,0)</f>
        <v>0</v>
      </c>
      <c r="AD26" s="45">
        <v>21</v>
      </c>
      <c r="AE26" s="45">
        <f>G26*0.180787676209853</f>
        <v>0</v>
      </c>
      <c r="AF26" s="45">
        <f>G26*(1-0.180787676209853)</f>
        <v>0</v>
      </c>
    </row>
    <row r="27" ht="12.75">
      <c r="D27" s="10" t="s">
        <v>84</v>
      </c>
    </row>
    <row r="28" spans="1:32" ht="12.75">
      <c r="A28" s="42" t="s">
        <v>85</v>
      </c>
      <c r="B28" s="42"/>
      <c r="C28" s="42" t="s">
        <v>86</v>
      </c>
      <c r="D28" s="42" t="s">
        <v>87</v>
      </c>
      <c r="E28" s="42" t="s">
        <v>51</v>
      </c>
      <c r="F28" s="43">
        <v>14.28</v>
      </c>
      <c r="H28" s="43">
        <f>ROUND(F28*AE28,2)</f>
        <v>0</v>
      </c>
      <c r="I28" s="43">
        <f>J28-H28</f>
        <v>0</v>
      </c>
      <c r="J28" s="43">
        <f>ROUND(F28*G28,2)</f>
        <v>0</v>
      </c>
      <c r="K28" s="43">
        <v>0.04766</v>
      </c>
      <c r="L28" s="43">
        <f>F28*K28</f>
        <v>0.6805848</v>
      </c>
      <c r="M28" s="44" t="s">
        <v>52</v>
      </c>
      <c r="N28" s="44" t="s">
        <v>48</v>
      </c>
      <c r="O28" s="43">
        <f>IF(N28="5",I28,0)</f>
        <v>0</v>
      </c>
      <c r="Z28" s="43">
        <f>IF(AD28=0,J28,0)</f>
        <v>0</v>
      </c>
      <c r="AA28" s="43">
        <f>IF(AD28=15,J28,0)</f>
        <v>0</v>
      </c>
      <c r="AB28" s="43">
        <f>IF(AD28=21,J28,0)</f>
        <v>0</v>
      </c>
      <c r="AD28" s="45">
        <v>21</v>
      </c>
      <c r="AE28" s="45">
        <f>G28*0.179231074118113</f>
        <v>0</v>
      </c>
      <c r="AF28" s="45">
        <f>G28*(1-0.179231074118113)</f>
        <v>0</v>
      </c>
    </row>
    <row r="29" ht="12.75">
      <c r="D29" s="10" t="s">
        <v>84</v>
      </c>
    </row>
    <row r="30" spans="1:32" ht="12.75">
      <c r="A30" s="42" t="s">
        <v>88</v>
      </c>
      <c r="B30" s="42"/>
      <c r="C30" s="42" t="s">
        <v>62</v>
      </c>
      <c r="D30" s="42" t="s">
        <v>63</v>
      </c>
      <c r="E30" s="42" t="s">
        <v>64</v>
      </c>
      <c r="F30" s="43">
        <v>1.51741</v>
      </c>
      <c r="H30" s="43">
        <f>ROUND(F30*AE30,2)</f>
        <v>0</v>
      </c>
      <c r="I30" s="43">
        <f>J30-H30</f>
        <v>0</v>
      </c>
      <c r="J30" s="43">
        <f>ROUND(F30*G30,2)</f>
        <v>0</v>
      </c>
      <c r="K30" s="43">
        <v>0</v>
      </c>
      <c r="L30" s="43">
        <f>F30*K30</f>
        <v>0</v>
      </c>
      <c r="M30" s="44" t="s">
        <v>52</v>
      </c>
      <c r="N30" s="44" t="s">
        <v>65</v>
      </c>
      <c r="O30" s="43">
        <f>IF(N30="5",I30,0)</f>
        <v>0</v>
      </c>
      <c r="Z30" s="43">
        <f>IF(AD30=0,J30,0)</f>
        <v>0</v>
      </c>
      <c r="AA30" s="43">
        <f>IF(AD30=15,J30,0)</f>
        <v>0</v>
      </c>
      <c r="AB30" s="43">
        <f>IF(AD30=21,J30,0)</f>
        <v>0</v>
      </c>
      <c r="AD30" s="45">
        <v>21</v>
      </c>
      <c r="AE30" s="45">
        <f>G30*0</f>
        <v>0</v>
      </c>
      <c r="AF30" s="45">
        <f>G30*(1-0)</f>
        <v>0</v>
      </c>
    </row>
    <row r="31" spans="1:37" ht="12.75">
      <c r="A31" s="39"/>
      <c r="B31" s="40"/>
      <c r="C31" s="40" t="s">
        <v>89</v>
      </c>
      <c r="D31" s="40" t="s">
        <v>90</v>
      </c>
      <c r="E31" s="40"/>
      <c r="F31" s="40"/>
      <c r="G31" s="40"/>
      <c r="H31" s="41">
        <f>SUM(H32:H33)</f>
        <v>0</v>
      </c>
      <c r="I31" s="41">
        <f>SUM(I32:I33)</f>
        <v>0</v>
      </c>
      <c r="J31" s="41">
        <f>H31+I31</f>
        <v>0</v>
      </c>
      <c r="K31" s="34"/>
      <c r="L31" s="41">
        <f>SUM(L32:L33)</f>
        <v>0.06989</v>
      </c>
      <c r="M31" s="34"/>
      <c r="P31" s="41">
        <f>IF(Q31="PR",J31,SUM(O32:O33))</f>
        <v>0</v>
      </c>
      <c r="Q31" s="34" t="s">
        <v>47</v>
      </c>
      <c r="R31" s="41">
        <f>IF(Q31="HS",H31,0)</f>
        <v>0</v>
      </c>
      <c r="S31" s="41">
        <f>IF(Q31="HS",I31-P31,0)</f>
        <v>0</v>
      </c>
      <c r="T31" s="41">
        <f>IF(Q31="PS",H31,0)</f>
        <v>0</v>
      </c>
      <c r="U31" s="41">
        <f>IF(Q31="PS",I31-P31,0)</f>
        <v>0</v>
      </c>
      <c r="V31" s="41">
        <f>IF(Q31="MP",H31,0)</f>
        <v>0</v>
      </c>
      <c r="W31" s="41">
        <f>IF(Q31="MP",I31-P31,0)</f>
        <v>0</v>
      </c>
      <c r="X31" s="41">
        <f>IF(Q31="OM",H31,0)</f>
        <v>0</v>
      </c>
      <c r="Y31" s="34"/>
      <c r="AI31" s="41">
        <f>SUM(Z32:Z33)</f>
        <v>0</v>
      </c>
      <c r="AJ31" s="41">
        <f>SUM(AA32:AA33)</f>
        <v>0</v>
      </c>
      <c r="AK31" s="41">
        <f>SUM(AB32:AB33)</f>
        <v>0</v>
      </c>
    </row>
    <row r="32" spans="1:32" ht="12.75">
      <c r="A32" s="42" t="s">
        <v>91</v>
      </c>
      <c r="B32" s="42"/>
      <c r="C32" s="42" t="s">
        <v>92</v>
      </c>
      <c r="D32" s="42" t="s">
        <v>93</v>
      </c>
      <c r="E32" s="42" t="s">
        <v>51</v>
      </c>
      <c r="F32" s="43">
        <v>1</v>
      </c>
      <c r="H32" s="43">
        <f>ROUND(F32*AE32,2)</f>
        <v>0</v>
      </c>
      <c r="I32" s="43">
        <f>J32-H32</f>
        <v>0</v>
      </c>
      <c r="J32" s="43">
        <f>ROUND(F32*G32,2)</f>
        <v>0</v>
      </c>
      <c r="K32" s="43">
        <v>0.06989</v>
      </c>
      <c r="L32" s="43">
        <f>F32*K32</f>
        <v>0.06989</v>
      </c>
      <c r="M32" s="44" t="s">
        <v>52</v>
      </c>
      <c r="N32" s="44" t="s">
        <v>48</v>
      </c>
      <c r="O32" s="43">
        <f>IF(N32="5",I32,0)</f>
        <v>0</v>
      </c>
      <c r="Z32" s="43">
        <f>IF(AD32=0,J32,0)</f>
        <v>0</v>
      </c>
      <c r="AA32" s="43">
        <f>IF(AD32=15,J32,0)</f>
        <v>0</v>
      </c>
      <c r="AB32" s="43">
        <f>IF(AD32=21,J32,0)</f>
        <v>0</v>
      </c>
      <c r="AD32" s="45">
        <v>21</v>
      </c>
      <c r="AE32" s="45">
        <f>G32*0.363984375</f>
        <v>0</v>
      </c>
      <c r="AF32" s="45">
        <f>G32*(1-0.363984375)</f>
        <v>0</v>
      </c>
    </row>
    <row r="33" spans="1:32" ht="12.75">
      <c r="A33" s="42" t="s">
        <v>94</v>
      </c>
      <c r="B33" s="42"/>
      <c r="C33" s="42" t="s">
        <v>62</v>
      </c>
      <c r="D33" s="42" t="s">
        <v>63</v>
      </c>
      <c r="E33" s="42" t="s">
        <v>64</v>
      </c>
      <c r="F33" s="43">
        <v>0.06989</v>
      </c>
      <c r="H33" s="43">
        <f>ROUND(F33*AE33,2)</f>
        <v>0</v>
      </c>
      <c r="I33" s="43">
        <f>J33-H33</f>
        <v>0</v>
      </c>
      <c r="J33" s="43">
        <f>ROUND(F33*G33,2)</f>
        <v>0</v>
      </c>
      <c r="K33" s="43">
        <v>0</v>
      </c>
      <c r="L33" s="43">
        <f>F33*K33</f>
        <v>0</v>
      </c>
      <c r="M33" s="44" t="s">
        <v>52</v>
      </c>
      <c r="N33" s="44" t="s">
        <v>65</v>
      </c>
      <c r="O33" s="43">
        <f>IF(N33="5",I33,0)</f>
        <v>0</v>
      </c>
      <c r="Z33" s="43">
        <f>IF(AD33=0,J33,0)</f>
        <v>0</v>
      </c>
      <c r="AA33" s="43">
        <f>IF(AD33=15,J33,0)</f>
        <v>0</v>
      </c>
      <c r="AB33" s="43">
        <f>IF(AD33=21,J33,0)</f>
        <v>0</v>
      </c>
      <c r="AD33" s="45">
        <v>21</v>
      </c>
      <c r="AE33" s="45">
        <f>G33*0</f>
        <v>0</v>
      </c>
      <c r="AF33" s="45">
        <f>G33*(1-0)</f>
        <v>0</v>
      </c>
    </row>
    <row r="34" spans="1:37" ht="12.75">
      <c r="A34" s="39"/>
      <c r="B34" s="40"/>
      <c r="C34" s="40" t="s">
        <v>95</v>
      </c>
      <c r="D34" s="40" t="s">
        <v>96</v>
      </c>
      <c r="E34" s="40"/>
      <c r="F34" s="40"/>
      <c r="G34" s="40"/>
      <c r="H34" s="41">
        <f>SUM(H35:H44)</f>
        <v>0</v>
      </c>
      <c r="I34" s="41">
        <f>SUM(I35:I44)</f>
        <v>0</v>
      </c>
      <c r="J34" s="41">
        <f>H34+I34</f>
        <v>0</v>
      </c>
      <c r="K34" s="34"/>
      <c r="L34" s="41">
        <f>SUM(L35:L44)</f>
        <v>1.70688</v>
      </c>
      <c r="M34" s="34"/>
      <c r="P34" s="41">
        <f>IF(Q34="PR",J34,SUM(O35:O44))</f>
        <v>0</v>
      </c>
      <c r="Q34" s="34" t="s">
        <v>47</v>
      </c>
      <c r="R34" s="41">
        <f>IF(Q34="HS",H34,0)</f>
        <v>0</v>
      </c>
      <c r="S34" s="41">
        <f>IF(Q34="HS",I34-P34,0)</f>
        <v>0</v>
      </c>
      <c r="T34" s="41">
        <f>IF(Q34="PS",H34,0)</f>
        <v>0</v>
      </c>
      <c r="U34" s="41">
        <f>IF(Q34="PS",I34-P34,0)</f>
        <v>0</v>
      </c>
      <c r="V34" s="41">
        <f>IF(Q34="MP",H34,0)</f>
        <v>0</v>
      </c>
      <c r="W34" s="41">
        <f>IF(Q34="MP",I34-P34,0)</f>
        <v>0</v>
      </c>
      <c r="X34" s="41">
        <f>IF(Q34="OM",H34,0)</f>
        <v>0</v>
      </c>
      <c r="Y34" s="34"/>
      <c r="AI34" s="41">
        <f>SUM(Z35:Z44)</f>
        <v>0</v>
      </c>
      <c r="AJ34" s="41">
        <f>SUM(AA35:AA44)</f>
        <v>0</v>
      </c>
      <c r="AK34" s="41">
        <f>SUM(AB35:AB44)</f>
        <v>0</v>
      </c>
    </row>
    <row r="35" spans="1:32" ht="12.75">
      <c r="A35" s="42" t="s">
        <v>97</v>
      </c>
      <c r="B35" s="42"/>
      <c r="C35" s="42" t="s">
        <v>98</v>
      </c>
      <c r="D35" s="42" t="s">
        <v>99</v>
      </c>
      <c r="E35" s="42" t="s">
        <v>100</v>
      </c>
      <c r="F35" s="43">
        <v>2</v>
      </c>
      <c r="H35" s="43">
        <f>ROUND(F35*AE35,2)</f>
        <v>0</v>
      </c>
      <c r="I35" s="43">
        <f>J35-H35</f>
        <v>0</v>
      </c>
      <c r="J35" s="43">
        <f>ROUND(F35*G35,2)</f>
        <v>0</v>
      </c>
      <c r="K35" s="43">
        <v>0.22804</v>
      </c>
      <c r="L35" s="43">
        <f>F35*K35</f>
        <v>0.45608</v>
      </c>
      <c r="M35" s="44" t="s">
        <v>52</v>
      </c>
      <c r="N35" s="44" t="s">
        <v>56</v>
      </c>
      <c r="O35" s="43">
        <f>IF(N35="5",I35,0)</f>
        <v>0</v>
      </c>
      <c r="Z35" s="43">
        <f>IF(AD35=0,J35,0)</f>
        <v>0</v>
      </c>
      <c r="AA35" s="43">
        <f>IF(AD35=15,J35,0)</f>
        <v>0</v>
      </c>
      <c r="AB35" s="43">
        <f>IF(AD35=21,J35,0)</f>
        <v>0</v>
      </c>
      <c r="AD35" s="45">
        <v>21</v>
      </c>
      <c r="AE35" s="45">
        <f>G35*0.557299006567542</f>
        <v>0</v>
      </c>
      <c r="AF35" s="45">
        <f>G35*(1-0.557299006567542)</f>
        <v>0</v>
      </c>
    </row>
    <row r="36" ht="12.75">
      <c r="D36" s="10" t="s">
        <v>101</v>
      </c>
    </row>
    <row r="37" spans="1:32" ht="12.75">
      <c r="A37" s="11" t="s">
        <v>102</v>
      </c>
      <c r="B37" s="11"/>
      <c r="C37" s="11" t="s">
        <v>103</v>
      </c>
      <c r="D37" s="11" t="s">
        <v>104</v>
      </c>
      <c r="E37" s="11" t="s">
        <v>105</v>
      </c>
      <c r="F37" s="45">
        <v>2</v>
      </c>
      <c r="H37" s="45">
        <f>ROUND(F37*AE37,2)</f>
        <v>0</v>
      </c>
      <c r="I37" s="45">
        <f>J37-H37</f>
        <v>0</v>
      </c>
      <c r="J37" s="45">
        <f>ROUND(F37*G37,2)</f>
        <v>0</v>
      </c>
      <c r="K37" s="45">
        <v>0.0358</v>
      </c>
      <c r="L37" s="45">
        <f>F37*K37</f>
        <v>0.0716</v>
      </c>
      <c r="M37" s="46"/>
      <c r="N37" s="46" t="s">
        <v>60</v>
      </c>
      <c r="O37" s="45">
        <f>IF(N37="5",I37,0)</f>
        <v>0</v>
      </c>
      <c r="Z37" s="45">
        <f>IF(AD37=0,J37,0)</f>
        <v>0</v>
      </c>
      <c r="AA37" s="45">
        <f>IF(AD37=15,J37,0)</f>
        <v>0</v>
      </c>
      <c r="AB37" s="45">
        <f>IF(AD37=21,J37,0)</f>
        <v>0</v>
      </c>
      <c r="AD37" s="45">
        <v>21</v>
      </c>
      <c r="AE37" s="45">
        <f>G37*1</f>
        <v>0</v>
      </c>
      <c r="AF37" s="45">
        <f>G37*(1-1)</f>
        <v>0</v>
      </c>
    </row>
    <row r="38" spans="1:32" ht="12.75">
      <c r="A38" s="42" t="s">
        <v>106</v>
      </c>
      <c r="B38" s="42"/>
      <c r="C38" s="42" t="s">
        <v>107</v>
      </c>
      <c r="D38" s="42" t="s">
        <v>108</v>
      </c>
      <c r="E38" s="42" t="s">
        <v>100</v>
      </c>
      <c r="F38" s="43">
        <v>1</v>
      </c>
      <c r="H38" s="43">
        <f>ROUND(F38*AE38,2)</f>
        <v>0</v>
      </c>
      <c r="I38" s="43">
        <f>J38-H38</f>
        <v>0</v>
      </c>
      <c r="J38" s="43">
        <f>ROUND(F38*G38,2)</f>
        <v>0</v>
      </c>
      <c r="K38" s="43">
        <v>0.4149</v>
      </c>
      <c r="L38" s="43">
        <f>F38*K38</f>
        <v>0.4149</v>
      </c>
      <c r="M38" s="44" t="s">
        <v>52</v>
      </c>
      <c r="N38" s="44" t="s">
        <v>56</v>
      </c>
      <c r="O38" s="43">
        <f>IF(N38="5",I38,0)</f>
        <v>0</v>
      </c>
      <c r="Z38" s="43">
        <f>IF(AD38=0,J38,0)</f>
        <v>0</v>
      </c>
      <c r="AA38" s="43">
        <f>IF(AD38=15,J38,0)</f>
        <v>0</v>
      </c>
      <c r="AB38" s="43">
        <f>IF(AD38=21,J38,0)</f>
        <v>0</v>
      </c>
      <c r="AD38" s="45">
        <v>21</v>
      </c>
      <c r="AE38" s="45">
        <f>G38*0.594152535730149</f>
        <v>0</v>
      </c>
      <c r="AF38" s="45">
        <f>G38*(1-0.594152535730149)</f>
        <v>0</v>
      </c>
    </row>
    <row r="39" ht="12.75">
      <c r="D39" s="10" t="s">
        <v>101</v>
      </c>
    </row>
    <row r="40" spans="1:32" ht="12.75">
      <c r="A40" s="11" t="s">
        <v>109</v>
      </c>
      <c r="B40" s="11"/>
      <c r="C40" s="11" t="s">
        <v>110</v>
      </c>
      <c r="D40" s="11" t="s">
        <v>111</v>
      </c>
      <c r="E40" s="11" t="s">
        <v>105</v>
      </c>
      <c r="F40" s="45">
        <v>1</v>
      </c>
      <c r="H40" s="45">
        <f>ROUND(F40*AE40,2)</f>
        <v>0</v>
      </c>
      <c r="I40" s="45">
        <f>J40-H40</f>
        <v>0</v>
      </c>
      <c r="J40" s="45">
        <f>ROUND(F40*G40,2)</f>
        <v>0</v>
      </c>
      <c r="K40" s="45">
        <v>0.0975</v>
      </c>
      <c r="L40" s="45">
        <f>F40*K40</f>
        <v>0.0975</v>
      </c>
      <c r="M40" s="46"/>
      <c r="N40" s="46" t="s">
        <v>60</v>
      </c>
      <c r="O40" s="45">
        <f>IF(N40="5",I40,0)</f>
        <v>0</v>
      </c>
      <c r="Z40" s="45">
        <f>IF(AD40=0,J40,0)</f>
        <v>0</v>
      </c>
      <c r="AA40" s="45">
        <f>IF(AD40=15,J40,0)</f>
        <v>0</v>
      </c>
      <c r="AB40" s="45">
        <f>IF(AD40=21,J40,0)</f>
        <v>0</v>
      </c>
      <c r="AD40" s="45">
        <v>21</v>
      </c>
      <c r="AE40" s="45">
        <f>G40*1</f>
        <v>0</v>
      </c>
      <c r="AF40" s="45">
        <f>G40*(1-1)</f>
        <v>0</v>
      </c>
    </row>
    <row r="41" spans="1:32" ht="12.75">
      <c r="A41" s="42" t="s">
        <v>112</v>
      </c>
      <c r="B41" s="42"/>
      <c r="C41" s="42" t="s">
        <v>113</v>
      </c>
      <c r="D41" s="42" t="s">
        <v>114</v>
      </c>
      <c r="E41" s="42" t="s">
        <v>100</v>
      </c>
      <c r="F41" s="43">
        <v>2</v>
      </c>
      <c r="H41" s="43">
        <f>ROUND(F41*AE41,2)</f>
        <v>0</v>
      </c>
      <c r="I41" s="43">
        <f>J41-H41</f>
        <v>0</v>
      </c>
      <c r="J41" s="43">
        <f>ROUND(F41*G41,2)</f>
        <v>0</v>
      </c>
      <c r="K41" s="43">
        <v>0.0304</v>
      </c>
      <c r="L41" s="43">
        <f>F41*K41</f>
        <v>0.0608</v>
      </c>
      <c r="M41" s="44" t="s">
        <v>52</v>
      </c>
      <c r="N41" s="44" t="s">
        <v>48</v>
      </c>
      <c r="O41" s="43">
        <f>IF(N41="5",I41,0)</f>
        <v>0</v>
      </c>
      <c r="Z41" s="43">
        <f>IF(AD41=0,J41,0)</f>
        <v>0</v>
      </c>
      <c r="AA41" s="43">
        <f>IF(AD41=15,J41,0)</f>
        <v>0</v>
      </c>
      <c r="AB41" s="43">
        <f>IF(AD41=21,J41,0)</f>
        <v>0</v>
      </c>
      <c r="AD41" s="45">
        <v>21</v>
      </c>
      <c r="AE41" s="45">
        <f>G41*0.173400576368876</f>
        <v>0</v>
      </c>
      <c r="AF41" s="45">
        <f>G41*(1-0.173400576368876)</f>
        <v>0</v>
      </c>
    </row>
    <row r="42" spans="1:32" ht="12.75">
      <c r="A42" s="11" t="s">
        <v>115</v>
      </c>
      <c r="B42" s="11"/>
      <c r="C42" s="11" t="s">
        <v>116</v>
      </c>
      <c r="D42" s="11" t="s">
        <v>117</v>
      </c>
      <c r="E42" s="11" t="s">
        <v>105</v>
      </c>
      <c r="F42" s="45">
        <v>1</v>
      </c>
      <c r="H42" s="45">
        <f>ROUND(F42*AE42,2)</f>
        <v>0</v>
      </c>
      <c r="I42" s="45">
        <f>J42-H42</f>
        <v>0</v>
      </c>
      <c r="J42" s="45">
        <f>ROUND(F42*G42,2)</f>
        <v>0</v>
      </c>
      <c r="K42" s="45">
        <v>0.303</v>
      </c>
      <c r="L42" s="45">
        <f>F42*K42</f>
        <v>0.303</v>
      </c>
      <c r="M42" s="46"/>
      <c r="N42" s="46" t="s">
        <v>60</v>
      </c>
      <c r="O42" s="45">
        <f>IF(N42="5",I42,0)</f>
        <v>0</v>
      </c>
      <c r="Z42" s="45">
        <f>IF(AD42=0,J42,0)</f>
        <v>0</v>
      </c>
      <c r="AA42" s="45">
        <f>IF(AD42=15,J42,0)</f>
        <v>0</v>
      </c>
      <c r="AB42" s="45">
        <f>IF(AD42=21,J42,0)</f>
        <v>0</v>
      </c>
      <c r="AD42" s="45">
        <v>21</v>
      </c>
      <c r="AE42" s="45">
        <f>G42*1</f>
        <v>0</v>
      </c>
      <c r="AF42" s="45">
        <f>G42*(1-1)</f>
        <v>0</v>
      </c>
    </row>
    <row r="43" spans="1:32" ht="12.75">
      <c r="A43" s="11" t="s">
        <v>118</v>
      </c>
      <c r="B43" s="11"/>
      <c r="C43" s="11" t="s">
        <v>119</v>
      </c>
      <c r="D43" s="11" t="s">
        <v>120</v>
      </c>
      <c r="E43" s="11" t="s">
        <v>105</v>
      </c>
      <c r="F43" s="45">
        <v>1</v>
      </c>
      <c r="H43" s="45">
        <f>ROUND(F43*AE43,2)</f>
        <v>0</v>
      </c>
      <c r="I43" s="45">
        <f>J43-H43</f>
        <v>0</v>
      </c>
      <c r="J43" s="45">
        <f>ROUND(F43*G43,2)</f>
        <v>0</v>
      </c>
      <c r="K43" s="45">
        <v>0.303</v>
      </c>
      <c r="L43" s="45">
        <f>F43*K43</f>
        <v>0.303</v>
      </c>
      <c r="M43" s="46"/>
      <c r="N43" s="46" t="s">
        <v>60</v>
      </c>
      <c r="O43" s="45">
        <f>IF(N43="5",I43,0)</f>
        <v>0</v>
      </c>
      <c r="Z43" s="45">
        <f>IF(AD43=0,J43,0)</f>
        <v>0</v>
      </c>
      <c r="AA43" s="45">
        <f>IF(AD43=15,J43,0)</f>
        <v>0</v>
      </c>
      <c r="AB43" s="45">
        <f>IF(AD43=21,J43,0)</f>
        <v>0</v>
      </c>
      <c r="AD43" s="45">
        <v>21</v>
      </c>
      <c r="AE43" s="45">
        <f>G43*1</f>
        <v>0</v>
      </c>
      <c r="AF43" s="45">
        <f>G43*(1-1)</f>
        <v>0</v>
      </c>
    </row>
    <row r="44" spans="1:32" ht="12.75">
      <c r="A44" s="42" t="s">
        <v>121</v>
      </c>
      <c r="B44" s="42"/>
      <c r="C44" s="42" t="s">
        <v>122</v>
      </c>
      <c r="D44" s="42" t="s">
        <v>123</v>
      </c>
      <c r="E44" s="42" t="s">
        <v>64</v>
      </c>
      <c r="F44" s="43">
        <v>1.70688</v>
      </c>
      <c r="H44" s="43">
        <f>ROUND(F44*AE44,2)</f>
        <v>0</v>
      </c>
      <c r="I44" s="43">
        <f>J44-H44</f>
        <v>0</v>
      </c>
      <c r="J44" s="43">
        <f>ROUND(F44*G44,2)</f>
        <v>0</v>
      </c>
      <c r="K44" s="43">
        <v>0</v>
      </c>
      <c r="L44" s="43">
        <f>F44*K44</f>
        <v>0</v>
      </c>
      <c r="M44" s="44" t="s">
        <v>52</v>
      </c>
      <c r="N44" s="44" t="s">
        <v>65</v>
      </c>
      <c r="O44" s="43">
        <f>IF(N44="5",I44,0)</f>
        <v>0</v>
      </c>
      <c r="Z44" s="43">
        <f>IF(AD44=0,J44,0)</f>
        <v>0</v>
      </c>
      <c r="AA44" s="43">
        <f>IF(AD44=15,J44,0)</f>
        <v>0</v>
      </c>
      <c r="AB44" s="43">
        <f>IF(AD44=21,J44,0)</f>
        <v>0</v>
      </c>
      <c r="AD44" s="45">
        <v>21</v>
      </c>
      <c r="AE44" s="45">
        <f>G44*0</f>
        <v>0</v>
      </c>
      <c r="AF44" s="45">
        <f>G44*(1-0)</f>
        <v>0</v>
      </c>
    </row>
    <row r="45" spans="1:37" ht="12.75">
      <c r="A45" s="39"/>
      <c r="B45" s="40"/>
      <c r="C45" s="40" t="s">
        <v>124</v>
      </c>
      <c r="D45" s="40" t="s">
        <v>125</v>
      </c>
      <c r="E45" s="40"/>
      <c r="F45" s="40"/>
      <c r="G45" s="40"/>
      <c r="H45" s="41">
        <f>SUM(H46:H71)</f>
        <v>0</v>
      </c>
      <c r="I45" s="41">
        <f>SUM(I46:I71)</f>
        <v>0</v>
      </c>
      <c r="J45" s="41">
        <f>H45+I45</f>
        <v>0</v>
      </c>
      <c r="K45" s="34"/>
      <c r="L45" s="41">
        <f>SUM(L46:L71)</f>
        <v>0.058899999999999994</v>
      </c>
      <c r="M45" s="34"/>
      <c r="P45" s="41">
        <f>IF(Q45="PR",J45,SUM(O46:O71))</f>
        <v>0</v>
      </c>
      <c r="Q45" s="34" t="s">
        <v>126</v>
      </c>
      <c r="R45" s="41">
        <f>IF(Q45="HS",H45,0)</f>
        <v>0</v>
      </c>
      <c r="S45" s="41">
        <f>IF(Q45="HS",I45-P45,0)</f>
        <v>0</v>
      </c>
      <c r="T45" s="41">
        <f>IF(Q45="PS",H45,0)</f>
        <v>0</v>
      </c>
      <c r="U45" s="41">
        <f>IF(Q45="PS",I45-P45,0)</f>
        <v>0</v>
      </c>
      <c r="V45" s="41">
        <f>IF(Q45="MP",H45,0)</f>
        <v>0</v>
      </c>
      <c r="W45" s="41">
        <f>IF(Q45="MP",I45-P45,0)</f>
        <v>0</v>
      </c>
      <c r="X45" s="41">
        <f>IF(Q45="OM",H45,0)</f>
        <v>0</v>
      </c>
      <c r="Y45" s="34"/>
      <c r="AI45" s="41">
        <f>SUM(Z46:Z71)</f>
        <v>0</v>
      </c>
      <c r="AJ45" s="41">
        <f>SUM(AA46:AA71)</f>
        <v>0</v>
      </c>
      <c r="AK45" s="41">
        <f>SUM(AB46:AB71)</f>
        <v>0</v>
      </c>
    </row>
    <row r="46" spans="1:32" ht="12.75">
      <c r="A46" s="42" t="s">
        <v>127</v>
      </c>
      <c r="B46" s="42"/>
      <c r="C46" s="42" t="s">
        <v>128</v>
      </c>
      <c r="D46" s="42" t="s">
        <v>129</v>
      </c>
      <c r="E46" s="42" t="s">
        <v>130</v>
      </c>
      <c r="F46" s="43">
        <v>1</v>
      </c>
      <c r="H46" s="43">
        <f>ROUND(F46*AE46,2)</f>
        <v>0</v>
      </c>
      <c r="I46" s="43">
        <f>J46-H46</f>
        <v>0</v>
      </c>
      <c r="J46" s="43">
        <f>ROUND(F46*G46,2)</f>
        <v>0</v>
      </c>
      <c r="K46" s="43">
        <v>0.002</v>
      </c>
      <c r="L46" s="43">
        <f>F46*K46</f>
        <v>0.002</v>
      </c>
      <c r="M46" s="44"/>
      <c r="N46" s="44" t="s">
        <v>48</v>
      </c>
      <c r="O46" s="43">
        <f>IF(N46="5",I46,0)</f>
        <v>0</v>
      </c>
      <c r="Z46" s="43">
        <f>IF(AD46=0,J46,0)</f>
        <v>0</v>
      </c>
      <c r="AA46" s="43">
        <f>IF(AD46=15,J46,0)</f>
        <v>0</v>
      </c>
      <c r="AB46" s="43">
        <f>IF(AD46=21,J46,0)</f>
        <v>0</v>
      </c>
      <c r="AD46" s="45">
        <v>21</v>
      </c>
      <c r="AE46" s="45">
        <f>G46*0.946017857142857</f>
        <v>0</v>
      </c>
      <c r="AF46" s="45">
        <f>G46*(1-0.946017857142857)</f>
        <v>0</v>
      </c>
    </row>
    <row r="47" ht="12.75">
      <c r="D47" s="10" t="s">
        <v>131</v>
      </c>
    </row>
    <row r="48" spans="1:32" ht="12.75">
      <c r="A48" s="42" t="s">
        <v>132</v>
      </c>
      <c r="B48" s="42"/>
      <c r="C48" s="42" t="s">
        <v>133</v>
      </c>
      <c r="D48" s="42" t="s">
        <v>134</v>
      </c>
      <c r="E48" s="42" t="s">
        <v>130</v>
      </c>
      <c r="F48" s="43">
        <v>1</v>
      </c>
      <c r="H48" s="43">
        <f>ROUND(F48*AE48,2)</f>
        <v>0</v>
      </c>
      <c r="I48" s="43">
        <f>J48-H48</f>
        <v>0</v>
      </c>
      <c r="J48" s="43">
        <f>ROUND(F48*G48,2)</f>
        <v>0</v>
      </c>
      <c r="K48" s="43">
        <v>0.0022</v>
      </c>
      <c r="L48" s="43">
        <f>F48*K48</f>
        <v>0.0022</v>
      </c>
      <c r="M48" s="44"/>
      <c r="N48" s="44" t="s">
        <v>48</v>
      </c>
      <c r="O48" s="43">
        <f>IF(N48="5",I48,0)</f>
        <v>0</v>
      </c>
      <c r="Z48" s="43">
        <f>IF(AD48=0,J48,0)</f>
        <v>0</v>
      </c>
      <c r="AA48" s="43">
        <f>IF(AD48=15,J48,0)</f>
        <v>0</v>
      </c>
      <c r="AB48" s="43">
        <f>IF(AD48=21,J48,0)</f>
        <v>0</v>
      </c>
      <c r="AD48" s="45">
        <v>21</v>
      </c>
      <c r="AE48" s="45">
        <f>G48*0.959693333333333</f>
        <v>0</v>
      </c>
      <c r="AF48" s="45">
        <f>G48*(1-0.959693333333333)</f>
        <v>0</v>
      </c>
    </row>
    <row r="49" ht="12.75">
      <c r="D49" s="10" t="s">
        <v>131</v>
      </c>
    </row>
    <row r="50" spans="1:32" ht="12.75">
      <c r="A50" s="42" t="s">
        <v>135</v>
      </c>
      <c r="B50" s="42"/>
      <c r="C50" s="42" t="s">
        <v>136</v>
      </c>
      <c r="D50" s="42" t="s">
        <v>137</v>
      </c>
      <c r="E50" s="42" t="s">
        <v>130</v>
      </c>
      <c r="F50" s="43">
        <v>2</v>
      </c>
      <c r="H50" s="43">
        <f>ROUND(F50*AE50,2)</f>
        <v>0</v>
      </c>
      <c r="I50" s="43">
        <f>J50-H50</f>
        <v>0</v>
      </c>
      <c r="J50" s="43">
        <f>ROUND(F50*G50,2)</f>
        <v>0</v>
      </c>
      <c r="K50" s="43">
        <v>0.0013</v>
      </c>
      <c r="L50" s="43">
        <f>F50*K50</f>
        <v>0.0026</v>
      </c>
      <c r="M50" s="44"/>
      <c r="N50" s="44" t="s">
        <v>48</v>
      </c>
      <c r="O50" s="43">
        <f>IF(N50="5",I50,0)</f>
        <v>0</v>
      </c>
      <c r="Z50" s="43">
        <f>IF(AD50=0,J50,0)</f>
        <v>0</v>
      </c>
      <c r="AA50" s="43">
        <f>IF(AD50=15,J50,0)</f>
        <v>0</v>
      </c>
      <c r="AB50" s="43">
        <f>IF(AD50=21,J50,0)</f>
        <v>0</v>
      </c>
      <c r="AD50" s="45">
        <v>21</v>
      </c>
      <c r="AE50" s="45">
        <f>G50*0.923629090909091</f>
        <v>0</v>
      </c>
      <c r="AF50" s="45">
        <f>G50*(1-0.923629090909091)</f>
        <v>0</v>
      </c>
    </row>
    <row r="51" ht="12.75">
      <c r="D51" s="10" t="s">
        <v>131</v>
      </c>
    </row>
    <row r="52" spans="1:32" ht="12.75">
      <c r="A52" s="42" t="s">
        <v>138</v>
      </c>
      <c r="B52" s="42"/>
      <c r="C52" s="42" t="s">
        <v>136</v>
      </c>
      <c r="D52" s="42" t="s">
        <v>139</v>
      </c>
      <c r="E52" s="42" t="s">
        <v>130</v>
      </c>
      <c r="F52" s="43">
        <v>1</v>
      </c>
      <c r="H52" s="43">
        <f>ROUND(F52*AE52,2)</f>
        <v>0</v>
      </c>
      <c r="I52" s="43">
        <f>J52-H52</f>
        <v>0</v>
      </c>
      <c r="J52" s="43">
        <f>ROUND(F52*G52,2)</f>
        <v>0</v>
      </c>
      <c r="K52" s="43">
        <v>0.0013</v>
      </c>
      <c r="L52" s="43">
        <f>F52*K52</f>
        <v>0.0013</v>
      </c>
      <c r="M52" s="44"/>
      <c r="N52" s="44" t="s">
        <v>48</v>
      </c>
      <c r="O52" s="43">
        <f>IF(N52="5",I52,0)</f>
        <v>0</v>
      </c>
      <c r="Z52" s="43">
        <f>IF(AD52=0,J52,0)</f>
        <v>0</v>
      </c>
      <c r="AA52" s="43">
        <f>IF(AD52=15,J52,0)</f>
        <v>0</v>
      </c>
      <c r="AB52" s="43">
        <f>IF(AD52=21,J52,0)</f>
        <v>0</v>
      </c>
      <c r="AD52" s="45">
        <v>21</v>
      </c>
      <c r="AE52" s="45">
        <f>G52*0.91321559325956</f>
        <v>0</v>
      </c>
      <c r="AF52" s="45">
        <f>G52*(1-0.91321559325956)</f>
        <v>0</v>
      </c>
    </row>
    <row r="53" ht="12.75">
      <c r="D53" s="10" t="s">
        <v>131</v>
      </c>
    </row>
    <row r="54" spans="1:32" ht="12.75">
      <c r="A54" s="11" t="s">
        <v>140</v>
      </c>
      <c r="B54" s="11"/>
      <c r="C54" s="11" t="s">
        <v>141</v>
      </c>
      <c r="D54" s="11" t="s">
        <v>142</v>
      </c>
      <c r="E54" s="11" t="s">
        <v>100</v>
      </c>
      <c r="F54" s="45">
        <v>5</v>
      </c>
      <c r="H54" s="45">
        <f>ROUND(F54*AE54,2)</f>
        <v>0</v>
      </c>
      <c r="I54" s="45">
        <f>J54-H54</f>
        <v>0</v>
      </c>
      <c r="J54" s="45">
        <f>ROUND(F54*G54,2)</f>
        <v>0</v>
      </c>
      <c r="K54" s="45">
        <v>0.0024</v>
      </c>
      <c r="L54" s="45">
        <f>F54*K54</f>
        <v>0.011999999999999999</v>
      </c>
      <c r="M54" s="46" t="s">
        <v>52</v>
      </c>
      <c r="N54" s="46" t="s">
        <v>60</v>
      </c>
      <c r="O54" s="45">
        <f>IF(N54="5",I54,0)</f>
        <v>0</v>
      </c>
      <c r="Z54" s="45">
        <f>IF(AD54=0,J54,0)</f>
        <v>0</v>
      </c>
      <c r="AA54" s="45">
        <f>IF(AD54=15,J54,0)</f>
        <v>0</v>
      </c>
      <c r="AB54" s="45">
        <f>IF(AD54=21,J54,0)</f>
        <v>0</v>
      </c>
      <c r="AD54" s="45">
        <v>21</v>
      </c>
      <c r="AE54" s="45">
        <f>G54*1</f>
        <v>0</v>
      </c>
      <c r="AF54" s="45">
        <f>G54*(1-1)</f>
        <v>0</v>
      </c>
    </row>
    <row r="55" spans="1:32" ht="12.75">
      <c r="A55" s="11" t="s">
        <v>143</v>
      </c>
      <c r="B55" s="11"/>
      <c r="C55" s="11" t="s">
        <v>144</v>
      </c>
      <c r="D55" s="11" t="s">
        <v>145</v>
      </c>
      <c r="E55" s="11" t="s">
        <v>100</v>
      </c>
      <c r="F55" s="45">
        <v>3</v>
      </c>
      <c r="H55" s="45">
        <f>ROUND(F55*AE55,2)</f>
        <v>0</v>
      </c>
      <c r="I55" s="45">
        <f>J55-H55</f>
        <v>0</v>
      </c>
      <c r="J55" s="45">
        <f>ROUND(F55*G55,2)</f>
        <v>0</v>
      </c>
      <c r="K55" s="45">
        <v>0.0012</v>
      </c>
      <c r="L55" s="45">
        <f>F55*K55</f>
        <v>0.0036</v>
      </c>
      <c r="M55" s="46"/>
      <c r="N55" s="46" t="s">
        <v>60</v>
      </c>
      <c r="O55" s="45">
        <f>IF(N55="5",I55,0)</f>
        <v>0</v>
      </c>
      <c r="Z55" s="45">
        <f>IF(AD55=0,J55,0)</f>
        <v>0</v>
      </c>
      <c r="AA55" s="45">
        <f>IF(AD55=15,J55,0)</f>
        <v>0</v>
      </c>
      <c r="AB55" s="45">
        <f>IF(AD55=21,J55,0)</f>
        <v>0</v>
      </c>
      <c r="AD55" s="45">
        <v>21</v>
      </c>
      <c r="AE55" s="45">
        <f>G55*1</f>
        <v>0</v>
      </c>
      <c r="AF55" s="45">
        <f>G55*(1-1)</f>
        <v>0</v>
      </c>
    </row>
    <row r="56" spans="1:32" ht="12.75">
      <c r="A56" s="11" t="s">
        <v>146</v>
      </c>
      <c r="B56" s="11"/>
      <c r="C56" s="11" t="s">
        <v>147</v>
      </c>
      <c r="D56" s="11" t="s">
        <v>148</v>
      </c>
      <c r="E56" s="11" t="s">
        <v>100</v>
      </c>
      <c r="F56" s="45">
        <v>3</v>
      </c>
      <c r="H56" s="45">
        <f>ROUND(F56*AE56,2)</f>
        <v>0</v>
      </c>
      <c r="I56" s="45">
        <f>J56-H56</f>
        <v>0</v>
      </c>
      <c r="J56" s="45">
        <f>ROUND(F56*G56,2)</f>
        <v>0</v>
      </c>
      <c r="K56" s="45">
        <v>0.002</v>
      </c>
      <c r="L56" s="45">
        <f>F56*K56</f>
        <v>0.006</v>
      </c>
      <c r="M56" s="46"/>
      <c r="N56" s="46" t="s">
        <v>60</v>
      </c>
      <c r="O56" s="45">
        <f>IF(N56="5",I56,0)</f>
        <v>0</v>
      </c>
      <c r="Z56" s="45">
        <f>IF(AD56=0,J56,0)</f>
        <v>0</v>
      </c>
      <c r="AA56" s="45">
        <f>IF(AD56=15,J56,0)</f>
        <v>0</v>
      </c>
      <c r="AB56" s="45">
        <f>IF(AD56=21,J56,0)</f>
        <v>0</v>
      </c>
      <c r="AD56" s="45">
        <v>21</v>
      </c>
      <c r="AE56" s="45">
        <f>G56*1</f>
        <v>0</v>
      </c>
      <c r="AF56" s="45">
        <f>G56*(1-1)</f>
        <v>0</v>
      </c>
    </row>
    <row r="57" spans="1:32" ht="12.75">
      <c r="A57" s="11" t="s">
        <v>149</v>
      </c>
      <c r="B57" s="11"/>
      <c r="C57" s="11" t="s">
        <v>150</v>
      </c>
      <c r="D57" s="11" t="s">
        <v>151</v>
      </c>
      <c r="E57" s="11" t="s">
        <v>100</v>
      </c>
      <c r="F57" s="45">
        <v>1</v>
      </c>
      <c r="H57" s="45">
        <f>ROUND(F57*AE57,2)</f>
        <v>0</v>
      </c>
      <c r="I57" s="45">
        <f>J57-H57</f>
        <v>0</v>
      </c>
      <c r="J57" s="45">
        <f>ROUND(F57*G57,2)</f>
        <v>0</v>
      </c>
      <c r="K57" s="45">
        <v>0.0039</v>
      </c>
      <c r="L57" s="45">
        <f>F57*K57</f>
        <v>0.0039</v>
      </c>
      <c r="M57" s="46"/>
      <c r="N57" s="46" t="s">
        <v>60</v>
      </c>
      <c r="O57" s="45">
        <f>IF(N57="5",I57,0)</f>
        <v>0</v>
      </c>
      <c r="Z57" s="45">
        <f>IF(AD57=0,J57,0)</f>
        <v>0</v>
      </c>
      <c r="AA57" s="45">
        <f>IF(AD57=15,J57,0)</f>
        <v>0</v>
      </c>
      <c r="AB57" s="45">
        <f>IF(AD57=21,J57,0)</f>
        <v>0</v>
      </c>
      <c r="AD57" s="45">
        <v>21</v>
      </c>
      <c r="AE57" s="45">
        <f>G57*1</f>
        <v>0</v>
      </c>
      <c r="AF57" s="45">
        <f>G57*(1-1)</f>
        <v>0</v>
      </c>
    </row>
    <row r="58" spans="1:32" ht="12.75">
      <c r="A58" s="11" t="s">
        <v>152</v>
      </c>
      <c r="B58" s="11"/>
      <c r="C58" s="11" t="s">
        <v>153</v>
      </c>
      <c r="D58" s="11" t="s">
        <v>154</v>
      </c>
      <c r="E58" s="11" t="s">
        <v>100</v>
      </c>
      <c r="F58" s="45">
        <v>5</v>
      </c>
      <c r="H58" s="45">
        <f>ROUND(F58*AE58,2)</f>
        <v>0</v>
      </c>
      <c r="I58" s="45">
        <f>J58-H58</f>
        <v>0</v>
      </c>
      <c r="J58" s="45">
        <f>ROUND(F58*G58,2)</f>
        <v>0</v>
      </c>
      <c r="K58" s="45">
        <v>0.0001</v>
      </c>
      <c r="L58" s="45">
        <f>F58*K58</f>
        <v>0.0005</v>
      </c>
      <c r="M58" s="46"/>
      <c r="N58" s="46" t="s">
        <v>60</v>
      </c>
      <c r="O58" s="45">
        <f>IF(N58="5",I58,0)</f>
        <v>0</v>
      </c>
      <c r="Z58" s="45">
        <f>IF(AD58=0,J58,0)</f>
        <v>0</v>
      </c>
      <c r="AA58" s="45">
        <f>IF(AD58=15,J58,0)</f>
        <v>0</v>
      </c>
      <c r="AB58" s="45">
        <f>IF(AD58=21,J58,0)</f>
        <v>0</v>
      </c>
      <c r="AD58" s="45">
        <v>21</v>
      </c>
      <c r="AE58" s="45">
        <f>G58*1</f>
        <v>0</v>
      </c>
      <c r="AF58" s="45">
        <f>G58*(1-1)</f>
        <v>0</v>
      </c>
    </row>
    <row r="59" spans="1:32" ht="12.75">
      <c r="A59" s="42" t="s">
        <v>155</v>
      </c>
      <c r="B59" s="42"/>
      <c r="C59" s="42" t="s">
        <v>156</v>
      </c>
      <c r="D59" s="42" t="s">
        <v>157</v>
      </c>
      <c r="E59" s="42" t="s">
        <v>130</v>
      </c>
      <c r="F59" s="43">
        <v>17</v>
      </c>
      <c r="H59" s="43">
        <f>ROUND(F59*AE59,2)</f>
        <v>0</v>
      </c>
      <c r="I59" s="43">
        <f>J59-H59</f>
        <v>0</v>
      </c>
      <c r="J59" s="43">
        <f>ROUND(F59*G59,2)</f>
        <v>0</v>
      </c>
      <c r="K59" s="43">
        <v>0</v>
      </c>
      <c r="L59" s="43">
        <f>F59*K59</f>
        <v>0</v>
      </c>
      <c r="M59" s="44"/>
      <c r="N59" s="44" t="s">
        <v>48</v>
      </c>
      <c r="O59" s="43">
        <f>IF(N59="5",I59,0)</f>
        <v>0</v>
      </c>
      <c r="Z59" s="43">
        <f>IF(AD59=0,J59,0)</f>
        <v>0</v>
      </c>
      <c r="AA59" s="43">
        <f>IF(AD59=15,J59,0)</f>
        <v>0</v>
      </c>
      <c r="AB59" s="43">
        <f>IF(AD59=21,J59,0)</f>
        <v>0</v>
      </c>
      <c r="AD59" s="45">
        <v>21</v>
      </c>
      <c r="AE59" s="45">
        <f>G59*0</f>
        <v>0</v>
      </c>
      <c r="AF59" s="45">
        <f>G59*(1-0)</f>
        <v>0</v>
      </c>
    </row>
    <row r="60" spans="1:32" ht="12.75">
      <c r="A60" s="11" t="s">
        <v>158</v>
      </c>
      <c r="B60" s="11"/>
      <c r="C60" s="11" t="s">
        <v>159</v>
      </c>
      <c r="D60" s="11" t="s">
        <v>160</v>
      </c>
      <c r="E60" s="11" t="s">
        <v>105</v>
      </c>
      <c r="F60" s="45">
        <v>1</v>
      </c>
      <c r="H60" s="45">
        <f>ROUND(F60*AE60,2)</f>
        <v>0</v>
      </c>
      <c r="I60" s="45">
        <f>J60-H60</f>
        <v>0</v>
      </c>
      <c r="J60" s="45">
        <f>ROUND(F60*G60,2)</f>
        <v>0</v>
      </c>
      <c r="K60" s="45">
        <v>0.0015</v>
      </c>
      <c r="L60" s="45">
        <f>F60*K60</f>
        <v>0.0015</v>
      </c>
      <c r="M60" s="46"/>
      <c r="N60" s="46" t="s">
        <v>60</v>
      </c>
      <c r="O60" s="45">
        <f>IF(N60="5",I60,0)</f>
        <v>0</v>
      </c>
      <c r="Z60" s="45">
        <f>IF(AD60=0,J60,0)</f>
        <v>0</v>
      </c>
      <c r="AA60" s="45">
        <f>IF(AD60=15,J60,0)</f>
        <v>0</v>
      </c>
      <c r="AB60" s="45">
        <f>IF(AD60=21,J60,0)</f>
        <v>0</v>
      </c>
      <c r="AD60" s="45">
        <v>21</v>
      </c>
      <c r="AE60" s="45">
        <f>G60*1</f>
        <v>0</v>
      </c>
      <c r="AF60" s="45">
        <f>G60*(1-1)</f>
        <v>0</v>
      </c>
    </row>
    <row r="61" spans="1:32" ht="12.75">
      <c r="A61" s="42" t="s">
        <v>161</v>
      </c>
      <c r="B61" s="42"/>
      <c r="C61" s="42" t="s">
        <v>162</v>
      </c>
      <c r="D61" s="42" t="s">
        <v>163</v>
      </c>
      <c r="E61" s="42" t="s">
        <v>130</v>
      </c>
      <c r="F61" s="43">
        <v>1</v>
      </c>
      <c r="H61" s="43">
        <f>ROUND(F61*AE61,2)</f>
        <v>0</v>
      </c>
      <c r="I61" s="43">
        <f>J61-H61</f>
        <v>0</v>
      </c>
      <c r="J61" s="43">
        <f>ROUND(F61*G61,2)</f>
        <v>0</v>
      </c>
      <c r="K61" s="43">
        <v>0</v>
      </c>
      <c r="L61" s="43">
        <f>F61*K61</f>
        <v>0</v>
      </c>
      <c r="M61" s="44"/>
      <c r="N61" s="44" t="s">
        <v>48</v>
      </c>
      <c r="O61" s="43">
        <f>IF(N61="5",I61,0)</f>
        <v>0</v>
      </c>
      <c r="Z61" s="43">
        <f>IF(AD61=0,J61,0)</f>
        <v>0</v>
      </c>
      <c r="AA61" s="43">
        <f>IF(AD61=15,J61,0)</f>
        <v>0</v>
      </c>
      <c r="AB61" s="43">
        <f>IF(AD61=21,J61,0)</f>
        <v>0</v>
      </c>
      <c r="AD61" s="45">
        <v>21</v>
      </c>
      <c r="AE61" s="45">
        <f>G61*0</f>
        <v>0</v>
      </c>
      <c r="AF61" s="45">
        <f>G61*(1-0)</f>
        <v>0</v>
      </c>
    </row>
    <row r="62" ht="12.75">
      <c r="D62" s="10" t="s">
        <v>164</v>
      </c>
    </row>
    <row r="63" spans="1:32" ht="12.75">
      <c r="A63" s="11" t="s">
        <v>45</v>
      </c>
      <c r="B63" s="11"/>
      <c r="C63" s="11" t="s">
        <v>165</v>
      </c>
      <c r="D63" s="11" t="s">
        <v>166</v>
      </c>
      <c r="E63" s="11" t="s">
        <v>100</v>
      </c>
      <c r="F63" s="45">
        <v>2</v>
      </c>
      <c r="H63" s="45">
        <f>ROUND(F63*AE63,2)</f>
        <v>0</v>
      </c>
      <c r="I63" s="45">
        <f>J63-H63</f>
        <v>0</v>
      </c>
      <c r="J63" s="45">
        <f>ROUND(F63*G63,2)</f>
        <v>0</v>
      </c>
      <c r="K63" s="45">
        <v>0.0031</v>
      </c>
      <c r="L63" s="45">
        <f>F63*K63</f>
        <v>0.0062</v>
      </c>
      <c r="M63" s="46"/>
      <c r="N63" s="46" t="s">
        <v>60</v>
      </c>
      <c r="O63" s="45">
        <f>IF(N63="5",I63,0)</f>
        <v>0</v>
      </c>
      <c r="Z63" s="45">
        <f>IF(AD63=0,J63,0)</f>
        <v>0</v>
      </c>
      <c r="AA63" s="45">
        <f>IF(AD63=15,J63,0)</f>
        <v>0</v>
      </c>
      <c r="AB63" s="45">
        <f>IF(AD63=21,J63,0)</f>
        <v>0</v>
      </c>
      <c r="AD63" s="45">
        <v>21</v>
      </c>
      <c r="AE63" s="45">
        <f>G63*1</f>
        <v>0</v>
      </c>
      <c r="AF63" s="45">
        <f>G63*(1-1)</f>
        <v>0</v>
      </c>
    </row>
    <row r="64" spans="1:32" ht="12.75">
      <c r="A64" s="11" t="s">
        <v>167</v>
      </c>
      <c r="B64" s="11"/>
      <c r="C64" s="11" t="s">
        <v>168</v>
      </c>
      <c r="D64" s="11" t="s">
        <v>169</v>
      </c>
      <c r="E64" s="11" t="s">
        <v>105</v>
      </c>
      <c r="F64" s="45">
        <v>1</v>
      </c>
      <c r="H64" s="45">
        <f>ROUND(F64*AE64,2)</f>
        <v>0</v>
      </c>
      <c r="I64" s="45">
        <f>J64-H64</f>
        <v>0</v>
      </c>
      <c r="J64" s="45">
        <f>ROUND(F64*G64,2)</f>
        <v>0</v>
      </c>
      <c r="K64" s="45">
        <v>0.007</v>
      </c>
      <c r="L64" s="45">
        <f>F64*K64</f>
        <v>0.007</v>
      </c>
      <c r="M64" s="46"/>
      <c r="N64" s="46" t="s">
        <v>60</v>
      </c>
      <c r="O64" s="45">
        <f>IF(N64="5",I64,0)</f>
        <v>0</v>
      </c>
      <c r="Z64" s="45">
        <f>IF(AD64=0,J64,0)</f>
        <v>0</v>
      </c>
      <c r="AA64" s="45">
        <f>IF(AD64=15,J64,0)</f>
        <v>0</v>
      </c>
      <c r="AB64" s="45">
        <f>IF(AD64=21,J64,0)</f>
        <v>0</v>
      </c>
      <c r="AD64" s="45">
        <v>21</v>
      </c>
      <c r="AE64" s="45">
        <f>G64*1</f>
        <v>0</v>
      </c>
      <c r="AF64" s="45">
        <f>G64*(1-1)</f>
        <v>0</v>
      </c>
    </row>
    <row r="65" spans="1:32" ht="12.75">
      <c r="A65" s="11" t="s">
        <v>170</v>
      </c>
      <c r="B65" s="11"/>
      <c r="C65" s="11" t="s">
        <v>171</v>
      </c>
      <c r="D65" s="11" t="s">
        <v>172</v>
      </c>
      <c r="E65" s="11" t="s">
        <v>105</v>
      </c>
      <c r="F65" s="45">
        <v>1</v>
      </c>
      <c r="H65" s="45">
        <f>ROUND(F65*AE65,2)</f>
        <v>0</v>
      </c>
      <c r="I65" s="45">
        <f>J65-H65</f>
        <v>0</v>
      </c>
      <c r="J65" s="45">
        <f>ROUND(F65*G65,2)</f>
        <v>0</v>
      </c>
      <c r="K65" s="45">
        <v>0.0065</v>
      </c>
      <c r="L65" s="45">
        <f>F65*K65</f>
        <v>0.0065</v>
      </c>
      <c r="M65" s="46"/>
      <c r="N65" s="46" t="s">
        <v>60</v>
      </c>
      <c r="O65" s="45">
        <f>IF(N65="5",I65,0)</f>
        <v>0</v>
      </c>
      <c r="Z65" s="45">
        <f>IF(AD65=0,J65,0)</f>
        <v>0</v>
      </c>
      <c r="AA65" s="45">
        <f>IF(AD65=15,J65,0)</f>
        <v>0</v>
      </c>
      <c r="AB65" s="45">
        <f>IF(AD65=21,J65,0)</f>
        <v>0</v>
      </c>
      <c r="AD65" s="45">
        <v>21</v>
      </c>
      <c r="AE65" s="45">
        <f>G65*1</f>
        <v>0</v>
      </c>
      <c r="AF65" s="45">
        <f>G65*(1-1)</f>
        <v>0</v>
      </c>
    </row>
    <row r="66" spans="1:32" ht="12.75">
      <c r="A66" s="42" t="s">
        <v>173</v>
      </c>
      <c r="B66" s="42"/>
      <c r="C66" s="42" t="s">
        <v>174</v>
      </c>
      <c r="D66" s="42" t="s">
        <v>175</v>
      </c>
      <c r="E66" s="42" t="s">
        <v>130</v>
      </c>
      <c r="F66" s="43">
        <v>2</v>
      </c>
      <c r="H66" s="43">
        <f>ROUND(F66*AE66,2)</f>
        <v>0</v>
      </c>
      <c r="I66" s="43">
        <f>J66-H66</f>
        <v>0</v>
      </c>
      <c r="J66" s="43">
        <f>ROUND(F66*G66,2)</f>
        <v>0</v>
      </c>
      <c r="K66" s="43">
        <v>0</v>
      </c>
      <c r="L66" s="43">
        <f>F66*K66</f>
        <v>0</v>
      </c>
      <c r="M66" s="44"/>
      <c r="N66" s="44" t="s">
        <v>48</v>
      </c>
      <c r="O66" s="43">
        <f>IF(N66="5",I66,0)</f>
        <v>0</v>
      </c>
      <c r="Z66" s="43">
        <f>IF(AD66=0,J66,0)</f>
        <v>0</v>
      </c>
      <c r="AA66" s="43">
        <f>IF(AD66=15,J66,0)</f>
        <v>0</v>
      </c>
      <c r="AB66" s="43">
        <f>IF(AD66=21,J66,0)</f>
        <v>0</v>
      </c>
      <c r="AD66" s="45">
        <v>21</v>
      </c>
      <c r="AE66" s="45">
        <f>G66*0</f>
        <v>0</v>
      </c>
      <c r="AF66" s="45">
        <f>G66*(1-0)</f>
        <v>0</v>
      </c>
    </row>
    <row r="67" spans="1:32" ht="12.75">
      <c r="A67" s="11" t="s">
        <v>176</v>
      </c>
      <c r="B67" s="11"/>
      <c r="C67" s="11" t="s">
        <v>177</v>
      </c>
      <c r="D67" s="11" t="s">
        <v>178</v>
      </c>
      <c r="E67" s="11" t="s">
        <v>105</v>
      </c>
      <c r="F67" s="45">
        <v>1</v>
      </c>
      <c r="H67" s="45">
        <f>ROUND(F67*AE67,2)</f>
        <v>0</v>
      </c>
      <c r="I67" s="45">
        <f>J67-H67</f>
        <v>0</v>
      </c>
      <c r="J67" s="45">
        <f>ROUND(F67*G67,2)</f>
        <v>0</v>
      </c>
      <c r="K67" s="45">
        <v>0.0017</v>
      </c>
      <c r="L67" s="45">
        <f>F67*K67</f>
        <v>0.0017</v>
      </c>
      <c r="M67" s="46"/>
      <c r="N67" s="46" t="s">
        <v>60</v>
      </c>
      <c r="O67" s="45">
        <f>IF(N67="5",I67,0)</f>
        <v>0</v>
      </c>
      <c r="Z67" s="45">
        <f>IF(AD67=0,J67,0)</f>
        <v>0</v>
      </c>
      <c r="AA67" s="45">
        <f>IF(AD67=15,J67,0)</f>
        <v>0</v>
      </c>
      <c r="AB67" s="45">
        <f>IF(AD67=21,J67,0)</f>
        <v>0</v>
      </c>
      <c r="AD67" s="45">
        <v>21</v>
      </c>
      <c r="AE67" s="45">
        <f>G67*1</f>
        <v>0</v>
      </c>
      <c r="AF67" s="45">
        <f>G67*(1-1)</f>
        <v>0</v>
      </c>
    </row>
    <row r="68" spans="1:32" ht="12.75">
      <c r="A68" s="11" t="s">
        <v>179</v>
      </c>
      <c r="B68" s="11"/>
      <c r="C68" s="11" t="s">
        <v>180</v>
      </c>
      <c r="D68" s="11" t="s">
        <v>181</v>
      </c>
      <c r="E68" s="11" t="s">
        <v>105</v>
      </c>
      <c r="F68" s="45">
        <v>1</v>
      </c>
      <c r="H68" s="45">
        <f>ROUND(F68*AE68,2)</f>
        <v>0</v>
      </c>
      <c r="I68" s="45">
        <f>J68-H68</f>
        <v>0</v>
      </c>
      <c r="J68" s="45">
        <f>ROUND(F68*G68,2)</f>
        <v>0</v>
      </c>
      <c r="K68" s="45">
        <v>0.0019</v>
      </c>
      <c r="L68" s="45">
        <f>F68*K68</f>
        <v>0.0019</v>
      </c>
      <c r="M68" s="46"/>
      <c r="N68" s="46" t="s">
        <v>60</v>
      </c>
      <c r="O68" s="45">
        <f>IF(N68="5",I68,0)</f>
        <v>0</v>
      </c>
      <c r="Z68" s="45">
        <f>IF(AD68=0,J68,0)</f>
        <v>0</v>
      </c>
      <c r="AA68" s="45">
        <f>IF(AD68=15,J68,0)</f>
        <v>0</v>
      </c>
      <c r="AB68" s="45">
        <f>IF(AD68=21,J68,0)</f>
        <v>0</v>
      </c>
      <c r="AD68" s="45">
        <v>21</v>
      </c>
      <c r="AE68" s="45">
        <f>G68*1</f>
        <v>0</v>
      </c>
      <c r="AF68" s="45">
        <f>G68*(1-1)</f>
        <v>0</v>
      </c>
    </row>
    <row r="69" spans="1:32" ht="12.75">
      <c r="A69" s="42" t="s">
        <v>182</v>
      </c>
      <c r="B69" s="42"/>
      <c r="C69" s="42" t="s">
        <v>183</v>
      </c>
      <c r="D69" s="42" t="s">
        <v>184</v>
      </c>
      <c r="E69" s="42" t="s">
        <v>130</v>
      </c>
      <c r="F69" s="43">
        <v>2</v>
      </c>
      <c r="H69" s="43">
        <f>ROUND(F69*AE69,2)</f>
        <v>0</v>
      </c>
      <c r="I69" s="43">
        <f>J69-H69</f>
        <v>0</v>
      </c>
      <c r="J69" s="43">
        <f>ROUND(F69*G69,2)</f>
        <v>0</v>
      </c>
      <c r="K69" s="43">
        <v>0</v>
      </c>
      <c r="L69" s="43">
        <f>F69*K69</f>
        <v>0</v>
      </c>
      <c r="M69" s="44"/>
      <c r="N69" s="44" t="s">
        <v>48</v>
      </c>
      <c r="O69" s="43">
        <f>IF(N69="5",I69,0)</f>
        <v>0</v>
      </c>
      <c r="Z69" s="43">
        <f>IF(AD69=0,J69,0)</f>
        <v>0</v>
      </c>
      <c r="AA69" s="43">
        <f>IF(AD69=15,J69,0)</f>
        <v>0</v>
      </c>
      <c r="AB69" s="43">
        <f>IF(AD69=21,J69,0)</f>
        <v>0</v>
      </c>
      <c r="AD69" s="45">
        <v>21</v>
      </c>
      <c r="AE69" s="45">
        <f>G69*0.356474467516264</f>
        <v>0</v>
      </c>
      <c r="AF69" s="45">
        <f>G69*(1-0.356474467516264)</f>
        <v>0</v>
      </c>
    </row>
    <row r="70" ht="12.75">
      <c r="D70" s="10" t="s">
        <v>185</v>
      </c>
    </row>
    <row r="71" spans="1:32" ht="12.75">
      <c r="A71" s="42" t="s">
        <v>66</v>
      </c>
      <c r="B71" s="42"/>
      <c r="C71" s="42" t="s">
        <v>186</v>
      </c>
      <c r="D71" s="42" t="s">
        <v>187</v>
      </c>
      <c r="E71" s="42" t="s">
        <v>64</v>
      </c>
      <c r="F71" s="43">
        <v>0.0589</v>
      </c>
      <c r="H71" s="43">
        <f>ROUND(F71*AE71,2)</f>
        <v>0</v>
      </c>
      <c r="I71" s="43">
        <f>J71-H71</f>
        <v>0</v>
      </c>
      <c r="J71" s="43">
        <f>ROUND(F71*G71,2)</f>
        <v>0</v>
      </c>
      <c r="K71" s="43">
        <v>0</v>
      </c>
      <c r="L71" s="43">
        <f>F71*K71</f>
        <v>0</v>
      </c>
      <c r="M71" s="44" t="s">
        <v>52</v>
      </c>
      <c r="N71" s="44" t="s">
        <v>65</v>
      </c>
      <c r="O71" s="43">
        <f>IF(N71="5",I71,0)</f>
        <v>0</v>
      </c>
      <c r="Z71" s="43">
        <f>IF(AD71=0,J71,0)</f>
        <v>0</v>
      </c>
      <c r="AA71" s="43">
        <f>IF(AD71=15,J71,0)</f>
        <v>0</v>
      </c>
      <c r="AB71" s="43">
        <f>IF(AD71=21,J71,0)</f>
        <v>0</v>
      </c>
      <c r="AD71" s="45">
        <v>21</v>
      </c>
      <c r="AE71" s="45">
        <f>G71*0</f>
        <v>0</v>
      </c>
      <c r="AF71" s="45">
        <f>G71*(1-0)</f>
        <v>0</v>
      </c>
    </row>
    <row r="72" spans="1:37" ht="12.75">
      <c r="A72" s="39"/>
      <c r="B72" s="40"/>
      <c r="C72" s="40" t="s">
        <v>188</v>
      </c>
      <c r="D72" s="40" t="s">
        <v>189</v>
      </c>
      <c r="E72" s="40"/>
      <c r="F72" s="40"/>
      <c r="G72" s="40"/>
      <c r="H72" s="41">
        <f>SUM(H73:H92)</f>
        <v>0</v>
      </c>
      <c r="I72" s="41">
        <f>SUM(I73:I92)</f>
        <v>0</v>
      </c>
      <c r="J72" s="41">
        <f>H72+I72</f>
        <v>0</v>
      </c>
      <c r="K72" s="34"/>
      <c r="L72" s="41">
        <f>SUM(L73:L92)</f>
        <v>7.6412937</v>
      </c>
      <c r="M72" s="34"/>
      <c r="P72" s="41">
        <f>IF(Q72="PR",J72,SUM(O73:O92))</f>
        <v>0</v>
      </c>
      <c r="Q72" s="34" t="s">
        <v>126</v>
      </c>
      <c r="R72" s="41">
        <f>IF(Q72="HS",H72,0)</f>
        <v>0</v>
      </c>
      <c r="S72" s="41">
        <f>IF(Q72="HS",I72-P72,0)</f>
        <v>0</v>
      </c>
      <c r="T72" s="41">
        <f>IF(Q72="PS",H72,0)</f>
        <v>0</v>
      </c>
      <c r="U72" s="41">
        <f>IF(Q72="PS",I72-P72,0)</f>
        <v>0</v>
      </c>
      <c r="V72" s="41">
        <f>IF(Q72="MP",H72,0)</f>
        <v>0</v>
      </c>
      <c r="W72" s="41">
        <f>IF(Q72="MP",I72-P72,0)</f>
        <v>0</v>
      </c>
      <c r="X72" s="41">
        <f>IF(Q72="OM",H72,0)</f>
        <v>0</v>
      </c>
      <c r="Y72" s="34"/>
      <c r="AI72" s="41">
        <f>SUM(Z73:Z92)</f>
        <v>0</v>
      </c>
      <c r="AJ72" s="41">
        <f>SUM(AA73:AA92)</f>
        <v>0</v>
      </c>
      <c r="AK72" s="41">
        <f>SUM(AB73:AB92)</f>
        <v>0</v>
      </c>
    </row>
    <row r="73" spans="1:32" ht="12.75">
      <c r="A73" s="42" t="s">
        <v>190</v>
      </c>
      <c r="B73" s="42"/>
      <c r="C73" s="42" t="s">
        <v>191</v>
      </c>
      <c r="D73" s="42" t="s">
        <v>192</v>
      </c>
      <c r="E73" s="42" t="s">
        <v>51</v>
      </c>
      <c r="F73" s="43">
        <v>200.21</v>
      </c>
      <c r="H73" s="43">
        <f>ROUND(F73*AE73,2)</f>
        <v>0</v>
      </c>
      <c r="I73" s="43">
        <f>J73-H73</f>
        <v>0</v>
      </c>
      <c r="J73" s="43">
        <f>ROUND(F73*G73,2)</f>
        <v>0</v>
      </c>
      <c r="K73" s="43">
        <v>0.03265</v>
      </c>
      <c r="L73" s="43">
        <f>F73*K73</f>
        <v>6.5368565</v>
      </c>
      <c r="M73" s="44" t="s">
        <v>52</v>
      </c>
      <c r="N73" s="44" t="s">
        <v>56</v>
      </c>
      <c r="O73" s="43">
        <f>IF(N73="5",I73,0)</f>
        <v>0</v>
      </c>
      <c r="Z73" s="43">
        <f>IF(AD73=0,J73,0)</f>
        <v>0</v>
      </c>
      <c r="AA73" s="43">
        <f>IF(AD73=15,J73,0)</f>
        <v>0</v>
      </c>
      <c r="AB73" s="43">
        <f>IF(AD73=21,J73,0)</f>
        <v>0</v>
      </c>
      <c r="AD73" s="45">
        <v>21</v>
      </c>
      <c r="AE73" s="45">
        <f>G73*0</f>
        <v>0</v>
      </c>
      <c r="AF73" s="45">
        <f>G73*(1-0)</f>
        <v>0</v>
      </c>
    </row>
    <row r="74" ht="12.75">
      <c r="D74" s="10" t="s">
        <v>193</v>
      </c>
    </row>
    <row r="75" spans="1:32" ht="12.75">
      <c r="A75" s="42" t="s">
        <v>194</v>
      </c>
      <c r="B75" s="42"/>
      <c r="C75" s="42" t="s">
        <v>195</v>
      </c>
      <c r="D75" s="42" t="s">
        <v>196</v>
      </c>
      <c r="E75" s="42" t="s">
        <v>64</v>
      </c>
      <c r="F75" s="43">
        <v>5.02843</v>
      </c>
      <c r="H75" s="43">
        <f>ROUND(F75*AE75,2)</f>
        <v>0</v>
      </c>
      <c r="I75" s="43">
        <f>J75-H75</f>
        <v>0</v>
      </c>
      <c r="J75" s="43">
        <f>ROUND(F75*G75,2)</f>
        <v>0</v>
      </c>
      <c r="K75" s="43">
        <v>0</v>
      </c>
      <c r="L75" s="43">
        <f>F75*K75</f>
        <v>0</v>
      </c>
      <c r="M75" s="44" t="s">
        <v>52</v>
      </c>
      <c r="N75" s="44" t="s">
        <v>65</v>
      </c>
      <c r="O75" s="43">
        <f>IF(N75="5",I75,0)</f>
        <v>0</v>
      </c>
      <c r="Z75" s="43">
        <f>IF(AD75=0,J75,0)</f>
        <v>0</v>
      </c>
      <c r="AA75" s="43">
        <f>IF(AD75=15,J75,0)</f>
        <v>0</v>
      </c>
      <c r="AB75" s="43">
        <f>IF(AD75=21,J75,0)</f>
        <v>0</v>
      </c>
      <c r="AD75" s="45">
        <v>21</v>
      </c>
      <c r="AE75" s="45">
        <f>G75*0</f>
        <v>0</v>
      </c>
      <c r="AF75" s="45">
        <f>G75*(1-0)</f>
        <v>0</v>
      </c>
    </row>
    <row r="76" spans="1:32" ht="12.75">
      <c r="A76" s="42" t="s">
        <v>197</v>
      </c>
      <c r="B76" s="42"/>
      <c r="C76" s="42" t="s">
        <v>198</v>
      </c>
      <c r="D76" s="42" t="s">
        <v>199</v>
      </c>
      <c r="E76" s="42" t="s">
        <v>100</v>
      </c>
      <c r="F76" s="43">
        <v>3</v>
      </c>
      <c r="H76" s="43">
        <f>ROUND(F76*AE76,2)</f>
        <v>0</v>
      </c>
      <c r="I76" s="43">
        <f>J76-H76</f>
        <v>0</v>
      </c>
      <c r="J76" s="43">
        <f>ROUND(F76*G76,2)</f>
        <v>0</v>
      </c>
      <c r="K76" s="43">
        <v>0.00202</v>
      </c>
      <c r="L76" s="43">
        <f>F76*K76</f>
        <v>0.00606</v>
      </c>
      <c r="M76" s="44" t="s">
        <v>52</v>
      </c>
      <c r="N76" s="44" t="s">
        <v>56</v>
      </c>
      <c r="O76" s="43">
        <f>IF(N76="5",I76,0)</f>
        <v>0</v>
      </c>
      <c r="Z76" s="43">
        <f>IF(AD76=0,J76,0)</f>
        <v>0</v>
      </c>
      <c r="AA76" s="43">
        <f>IF(AD76=15,J76,0)</f>
        <v>0</v>
      </c>
      <c r="AB76" s="43">
        <f>IF(AD76=21,J76,0)</f>
        <v>0</v>
      </c>
      <c r="AD76" s="45">
        <v>21</v>
      </c>
      <c r="AE76" s="45">
        <f>G76*0.0977833232837621</f>
        <v>0</v>
      </c>
      <c r="AF76" s="45">
        <f>G76*(1-0.0977833232837621)</f>
        <v>0</v>
      </c>
    </row>
    <row r="77" spans="1:32" ht="12.75">
      <c r="A77" s="11" t="s">
        <v>200</v>
      </c>
      <c r="B77" s="11"/>
      <c r="C77" s="11" t="s">
        <v>201</v>
      </c>
      <c r="D77" s="11" t="s">
        <v>202</v>
      </c>
      <c r="E77" s="11" t="s">
        <v>105</v>
      </c>
      <c r="F77" s="45">
        <v>2</v>
      </c>
      <c r="H77" s="45">
        <f>ROUND(F77*AE77,2)</f>
        <v>0</v>
      </c>
      <c r="I77" s="45">
        <f>J77-H77</f>
        <v>0</v>
      </c>
      <c r="J77" s="45">
        <f>ROUND(F77*G77,2)</f>
        <v>0</v>
      </c>
      <c r="K77" s="45">
        <v>0.0506</v>
      </c>
      <c r="L77" s="45">
        <f>F77*K77</f>
        <v>0.1012</v>
      </c>
      <c r="M77" s="46"/>
      <c r="N77" s="46" t="s">
        <v>60</v>
      </c>
      <c r="O77" s="45">
        <f>IF(N77="5",I77,0)</f>
        <v>0</v>
      </c>
      <c r="Z77" s="45">
        <f>IF(AD77=0,J77,0)</f>
        <v>0</v>
      </c>
      <c r="AA77" s="45">
        <f>IF(AD77=15,J77,0)</f>
        <v>0</v>
      </c>
      <c r="AB77" s="45">
        <f>IF(AD77=21,J77,0)</f>
        <v>0</v>
      </c>
      <c r="AD77" s="45">
        <v>21</v>
      </c>
      <c r="AE77" s="45">
        <f>G77*1</f>
        <v>0</v>
      </c>
      <c r="AF77" s="45">
        <f>G77*(1-1)</f>
        <v>0</v>
      </c>
    </row>
    <row r="78" spans="1:32" ht="12.75">
      <c r="A78" s="11" t="s">
        <v>203</v>
      </c>
      <c r="B78" s="11"/>
      <c r="C78" s="11" t="s">
        <v>204</v>
      </c>
      <c r="D78" s="11" t="s">
        <v>205</v>
      </c>
      <c r="E78" s="11" t="s">
        <v>105</v>
      </c>
      <c r="F78" s="45">
        <v>1</v>
      </c>
      <c r="H78" s="45">
        <f>ROUND(F78*AE78,2)</f>
        <v>0</v>
      </c>
      <c r="I78" s="45">
        <f>J78-H78</f>
        <v>0</v>
      </c>
      <c r="J78" s="45">
        <f>ROUND(F78*G78,2)</f>
        <v>0</v>
      </c>
      <c r="K78" s="45">
        <v>0.0506</v>
      </c>
      <c r="L78" s="45">
        <f>F78*K78</f>
        <v>0.0506</v>
      </c>
      <c r="M78" s="46"/>
      <c r="N78" s="46" t="s">
        <v>60</v>
      </c>
      <c r="O78" s="45">
        <f>IF(N78="5",I78,0)</f>
        <v>0</v>
      </c>
      <c r="Z78" s="45">
        <f>IF(AD78=0,J78,0)</f>
        <v>0</v>
      </c>
      <c r="AA78" s="45">
        <f>IF(AD78=15,J78,0)</f>
        <v>0</v>
      </c>
      <c r="AB78" s="45">
        <f>IF(AD78=21,J78,0)</f>
        <v>0</v>
      </c>
      <c r="AD78" s="45">
        <v>21</v>
      </c>
      <c r="AE78" s="45">
        <f>G78*1</f>
        <v>0</v>
      </c>
      <c r="AF78" s="45">
        <f>G78*(1-1)</f>
        <v>0</v>
      </c>
    </row>
    <row r="79" spans="1:32" ht="12.75">
      <c r="A79" s="42" t="s">
        <v>206</v>
      </c>
      <c r="B79" s="42"/>
      <c r="C79" s="42" t="s">
        <v>207</v>
      </c>
      <c r="D79" s="42" t="s">
        <v>208</v>
      </c>
      <c r="E79" s="42" t="s">
        <v>51</v>
      </c>
      <c r="F79" s="43">
        <v>18.43</v>
      </c>
      <c r="H79" s="43">
        <f>ROUND(F79*AE79,2)</f>
        <v>0</v>
      </c>
      <c r="I79" s="43">
        <f>J79-H79</f>
        <v>0</v>
      </c>
      <c r="J79" s="43">
        <f>ROUND(F79*G79,2)</f>
        <v>0</v>
      </c>
      <c r="K79" s="43">
        <v>0.0002</v>
      </c>
      <c r="L79" s="43">
        <f>F79*K79</f>
        <v>0.003686</v>
      </c>
      <c r="M79" s="44"/>
      <c r="N79" s="44" t="s">
        <v>48</v>
      </c>
      <c r="O79" s="43">
        <f>IF(N79="5",I79,0)</f>
        <v>0</v>
      </c>
      <c r="Z79" s="43">
        <f>IF(AD79=0,J79,0)</f>
        <v>0</v>
      </c>
      <c r="AA79" s="43">
        <f>IF(AD79=15,J79,0)</f>
        <v>0</v>
      </c>
      <c r="AB79" s="43">
        <f>IF(AD79=21,J79,0)</f>
        <v>0</v>
      </c>
      <c r="AD79" s="45">
        <v>21</v>
      </c>
      <c r="AE79" s="45">
        <f>G79*0.0562608695652174</f>
        <v>0</v>
      </c>
      <c r="AF79" s="45">
        <f>G79*(1-0.0562608695652174)</f>
        <v>0</v>
      </c>
    </row>
    <row r="80" ht="12.75">
      <c r="D80" s="10" t="s">
        <v>209</v>
      </c>
    </row>
    <row r="81" spans="1:32" ht="12.75">
      <c r="A81" s="11" t="s">
        <v>210</v>
      </c>
      <c r="B81" s="11"/>
      <c r="C81" s="11" t="s">
        <v>211</v>
      </c>
      <c r="D81" s="11" t="s">
        <v>212</v>
      </c>
      <c r="E81" s="11" t="s">
        <v>51</v>
      </c>
      <c r="F81" s="45">
        <v>22.12</v>
      </c>
      <c r="H81" s="45">
        <f>ROUND(F81*AE81,2)</f>
        <v>0</v>
      </c>
      <c r="I81" s="45">
        <f>J81-H81</f>
        <v>0</v>
      </c>
      <c r="J81" s="45">
        <f>ROUND(F81*G81,2)</f>
        <v>0</v>
      </c>
      <c r="K81" s="45">
        <v>0.0406</v>
      </c>
      <c r="L81" s="45">
        <f>F81*K81</f>
        <v>0.898072</v>
      </c>
      <c r="M81" s="46"/>
      <c r="N81" s="46" t="s">
        <v>60</v>
      </c>
      <c r="O81" s="45">
        <f>IF(N81="5",I81,0)</f>
        <v>0</v>
      </c>
      <c r="Z81" s="45">
        <f>IF(AD81=0,J81,0)</f>
        <v>0</v>
      </c>
      <c r="AA81" s="45">
        <f>IF(AD81=15,J81,0)</f>
        <v>0</v>
      </c>
      <c r="AB81" s="45">
        <f>IF(AD81=21,J81,0)</f>
        <v>0</v>
      </c>
      <c r="AD81" s="45">
        <v>21</v>
      </c>
      <c r="AE81" s="45">
        <f>G81*1</f>
        <v>0</v>
      </c>
      <c r="AF81" s="45">
        <f>G81*(1-1)</f>
        <v>0</v>
      </c>
    </row>
    <row r="82" spans="1:32" ht="12.75">
      <c r="A82" s="11" t="s">
        <v>213</v>
      </c>
      <c r="B82" s="11"/>
      <c r="C82" s="11" t="s">
        <v>214</v>
      </c>
      <c r="D82" s="11" t="s">
        <v>215</v>
      </c>
      <c r="E82" s="11" t="s">
        <v>216</v>
      </c>
      <c r="F82" s="45">
        <v>10</v>
      </c>
      <c r="H82" s="45">
        <f>ROUND(F82*AE82,2)</f>
        <v>0</v>
      </c>
      <c r="I82" s="45">
        <f>J82-H82</f>
        <v>0</v>
      </c>
      <c r="J82" s="45">
        <f>ROUND(F82*G82,2)</f>
        <v>0</v>
      </c>
      <c r="K82" s="45">
        <v>0</v>
      </c>
      <c r="L82" s="45">
        <f>F82*K82</f>
        <v>0</v>
      </c>
      <c r="M82" s="46"/>
      <c r="N82" s="46" t="s">
        <v>60</v>
      </c>
      <c r="O82" s="45">
        <f>IF(N82="5",I82,0)</f>
        <v>0</v>
      </c>
      <c r="Z82" s="45">
        <f>IF(AD82=0,J82,0)</f>
        <v>0</v>
      </c>
      <c r="AA82" s="45">
        <f>IF(AD82=15,J82,0)</f>
        <v>0</v>
      </c>
      <c r="AB82" s="45">
        <f>IF(AD82=21,J82,0)</f>
        <v>0</v>
      </c>
      <c r="AD82" s="45">
        <v>21</v>
      </c>
      <c r="AE82" s="45">
        <f>G82*1</f>
        <v>0</v>
      </c>
      <c r="AF82" s="45">
        <f>G82*(1-1)</f>
        <v>0</v>
      </c>
    </row>
    <row r="83" spans="1:32" ht="12.75">
      <c r="A83" s="11" t="s">
        <v>217</v>
      </c>
      <c r="B83" s="11"/>
      <c r="C83" s="11" t="s">
        <v>218</v>
      </c>
      <c r="D83" s="11" t="s">
        <v>219</v>
      </c>
      <c r="E83" s="11" t="s">
        <v>130</v>
      </c>
      <c r="F83" s="45">
        <v>5</v>
      </c>
      <c r="H83" s="45">
        <f>ROUND(F83*AE83,2)</f>
        <v>0</v>
      </c>
      <c r="I83" s="45">
        <f>J83-H83</f>
        <v>0</v>
      </c>
      <c r="J83" s="45">
        <f>ROUND(F83*G83,2)</f>
        <v>0</v>
      </c>
      <c r="K83" s="45">
        <v>0.003</v>
      </c>
      <c r="L83" s="45">
        <f>F83*K83</f>
        <v>0.015</v>
      </c>
      <c r="M83" s="46"/>
      <c r="N83" s="46" t="s">
        <v>60</v>
      </c>
      <c r="O83" s="45">
        <f>IF(N83="5",I83,0)</f>
        <v>0</v>
      </c>
      <c r="Z83" s="45">
        <f>IF(AD83=0,J83,0)</f>
        <v>0</v>
      </c>
      <c r="AA83" s="45">
        <f>IF(AD83=15,J83,0)</f>
        <v>0</v>
      </c>
      <c r="AB83" s="45">
        <f>IF(AD83=21,J83,0)</f>
        <v>0</v>
      </c>
      <c r="AD83" s="45">
        <v>21</v>
      </c>
      <c r="AE83" s="45">
        <f>G83*1</f>
        <v>0</v>
      </c>
      <c r="AF83" s="45">
        <f>G83*(1-1)</f>
        <v>0</v>
      </c>
    </row>
    <row r="84" spans="1:32" ht="12.75">
      <c r="A84" s="11" t="s">
        <v>220</v>
      </c>
      <c r="B84" s="11"/>
      <c r="C84" s="11" t="s">
        <v>221</v>
      </c>
      <c r="D84" s="11" t="s">
        <v>222</v>
      </c>
      <c r="E84" s="11" t="s">
        <v>100</v>
      </c>
      <c r="F84" s="45">
        <v>16</v>
      </c>
      <c r="H84" s="45">
        <f>ROUND(F84*AE84,2)</f>
        <v>0</v>
      </c>
      <c r="I84" s="45">
        <f>J84-H84</f>
        <v>0</v>
      </c>
      <c r="J84" s="45">
        <f>ROUND(F84*G84,2)</f>
        <v>0</v>
      </c>
      <c r="K84" s="45">
        <v>0.0002</v>
      </c>
      <c r="L84" s="45">
        <f>F84*K84</f>
        <v>0.0032</v>
      </c>
      <c r="M84" s="46"/>
      <c r="N84" s="46" t="s">
        <v>60</v>
      </c>
      <c r="O84" s="45">
        <f>IF(N84="5",I84,0)</f>
        <v>0</v>
      </c>
      <c r="Z84" s="45">
        <f>IF(AD84=0,J84,0)</f>
        <v>0</v>
      </c>
      <c r="AA84" s="45">
        <f>IF(AD84=15,J84,0)</f>
        <v>0</v>
      </c>
      <c r="AB84" s="45">
        <f>IF(AD84=21,J84,0)</f>
        <v>0</v>
      </c>
      <c r="AD84" s="45">
        <v>21</v>
      </c>
      <c r="AE84" s="45">
        <f>G84*1</f>
        <v>0</v>
      </c>
      <c r="AF84" s="45">
        <f>G84*(1-1)</f>
        <v>0</v>
      </c>
    </row>
    <row r="85" spans="1:32" ht="12.75">
      <c r="A85" s="42" t="s">
        <v>223</v>
      </c>
      <c r="B85" s="42"/>
      <c r="C85" s="42" t="s">
        <v>224</v>
      </c>
      <c r="D85" s="42" t="s">
        <v>225</v>
      </c>
      <c r="E85" s="42" t="s">
        <v>216</v>
      </c>
      <c r="F85" s="43">
        <v>7.4</v>
      </c>
      <c r="H85" s="43">
        <f>ROUND(F85*AE85,2)</f>
        <v>0</v>
      </c>
      <c r="I85" s="43">
        <f>J85-H85</f>
        <v>0</v>
      </c>
      <c r="J85" s="43">
        <f>ROUND(F85*G85,2)</f>
        <v>0</v>
      </c>
      <c r="K85" s="43">
        <v>1E-05</v>
      </c>
      <c r="L85" s="43">
        <f>F85*K85</f>
        <v>7.400000000000001E-05</v>
      </c>
      <c r="M85" s="44" t="s">
        <v>52</v>
      </c>
      <c r="N85" s="44" t="s">
        <v>48</v>
      </c>
      <c r="O85" s="43">
        <f>IF(N85="5",I85,0)</f>
        <v>0</v>
      </c>
      <c r="Z85" s="43">
        <f>IF(AD85=0,J85,0)</f>
        <v>0</v>
      </c>
      <c r="AA85" s="43">
        <f>IF(AD85=15,J85,0)</f>
        <v>0</v>
      </c>
      <c r="AB85" s="43">
        <f>IF(AD85=21,J85,0)</f>
        <v>0</v>
      </c>
      <c r="AD85" s="45">
        <v>21</v>
      </c>
      <c r="AE85" s="45">
        <f>G85*0.0111111111111111</f>
        <v>0</v>
      </c>
      <c r="AF85" s="45">
        <f>G85*(1-0.0111111111111111)</f>
        <v>0</v>
      </c>
    </row>
    <row r="86" ht="12.75">
      <c r="D86" s="10" t="s">
        <v>226</v>
      </c>
    </row>
    <row r="87" spans="1:32" ht="12.75">
      <c r="A87" s="11" t="s">
        <v>227</v>
      </c>
      <c r="B87" s="11"/>
      <c r="C87" s="11" t="s">
        <v>228</v>
      </c>
      <c r="D87" s="11" t="s">
        <v>229</v>
      </c>
      <c r="E87" s="11" t="s">
        <v>216</v>
      </c>
      <c r="F87" s="45">
        <v>8.02</v>
      </c>
      <c r="H87" s="45">
        <f>ROUND(F87*AE87,2)</f>
        <v>0</v>
      </c>
      <c r="I87" s="45">
        <f>J87-H87</f>
        <v>0</v>
      </c>
      <c r="J87" s="45">
        <f>ROUND(F87*G87,2)</f>
        <v>0</v>
      </c>
      <c r="K87" s="45">
        <v>0.00176</v>
      </c>
      <c r="L87" s="45">
        <f>F87*K87</f>
        <v>0.0141152</v>
      </c>
      <c r="M87" s="46"/>
      <c r="N87" s="46" t="s">
        <v>60</v>
      </c>
      <c r="O87" s="45">
        <f>IF(N87="5",I87,0)</f>
        <v>0</v>
      </c>
      <c r="Z87" s="45">
        <f>IF(AD87=0,J87,0)</f>
        <v>0</v>
      </c>
      <c r="AA87" s="45">
        <f>IF(AD87=15,J87,0)</f>
        <v>0</v>
      </c>
      <c r="AB87" s="45">
        <f>IF(AD87=21,J87,0)</f>
        <v>0</v>
      </c>
      <c r="AD87" s="45">
        <v>21</v>
      </c>
      <c r="AE87" s="45">
        <f>G87*1</f>
        <v>0</v>
      </c>
      <c r="AF87" s="45">
        <f>G87*(1-1)</f>
        <v>0</v>
      </c>
    </row>
    <row r="88" spans="1:32" ht="12.75">
      <c r="A88" s="11" t="s">
        <v>230</v>
      </c>
      <c r="B88" s="11"/>
      <c r="C88" s="11" t="s">
        <v>231</v>
      </c>
      <c r="D88" s="11" t="s">
        <v>232</v>
      </c>
      <c r="E88" s="11" t="s">
        <v>100</v>
      </c>
      <c r="F88" s="45">
        <v>11</v>
      </c>
      <c r="H88" s="45">
        <f>ROUND(F88*AE88,2)</f>
        <v>0</v>
      </c>
      <c r="I88" s="45">
        <f>J88-H88</f>
        <v>0</v>
      </c>
      <c r="J88" s="45">
        <f>ROUND(F88*G88,2)</f>
        <v>0</v>
      </c>
      <c r="K88" s="45">
        <v>0.00075</v>
      </c>
      <c r="L88" s="45">
        <f>F88*K88</f>
        <v>0.00825</v>
      </c>
      <c r="M88" s="46" t="s">
        <v>52</v>
      </c>
      <c r="N88" s="46" t="s">
        <v>60</v>
      </c>
      <c r="O88" s="45">
        <f>IF(N88="5",I88,0)</f>
        <v>0</v>
      </c>
      <c r="Z88" s="45">
        <f>IF(AD88=0,J88,0)</f>
        <v>0</v>
      </c>
      <c r="AA88" s="45">
        <f>IF(AD88=15,J88,0)</f>
        <v>0</v>
      </c>
      <c r="AB88" s="45">
        <f>IF(AD88=21,J88,0)</f>
        <v>0</v>
      </c>
      <c r="AD88" s="45">
        <v>21</v>
      </c>
      <c r="AE88" s="45">
        <f>G88*1</f>
        <v>0</v>
      </c>
      <c r="AF88" s="45">
        <f>G88*(1-1)</f>
        <v>0</v>
      </c>
    </row>
    <row r="89" spans="1:32" ht="12.75">
      <c r="A89" s="11" t="s">
        <v>233</v>
      </c>
      <c r="B89" s="11"/>
      <c r="C89" s="11" t="s">
        <v>234</v>
      </c>
      <c r="D89" s="11" t="s">
        <v>235</v>
      </c>
      <c r="E89" s="11" t="s">
        <v>100</v>
      </c>
      <c r="F89" s="45">
        <v>1</v>
      </c>
      <c r="H89" s="45">
        <f>ROUND(F89*AE89,2)</f>
        <v>0</v>
      </c>
      <c r="I89" s="45">
        <f>J89-H89</f>
        <v>0</v>
      </c>
      <c r="J89" s="45">
        <f>ROUND(F89*G89,2)</f>
        <v>0</v>
      </c>
      <c r="K89" s="45">
        <v>0.00075</v>
      </c>
      <c r="L89" s="45">
        <f>F89*K89</f>
        <v>0.00075</v>
      </c>
      <c r="M89" s="46"/>
      <c r="N89" s="46" t="s">
        <v>60</v>
      </c>
      <c r="O89" s="45">
        <f>IF(N89="5",I89,0)</f>
        <v>0</v>
      </c>
      <c r="Z89" s="45">
        <f>IF(AD89=0,J89,0)</f>
        <v>0</v>
      </c>
      <c r="AA89" s="45">
        <f>IF(AD89=15,J89,0)</f>
        <v>0</v>
      </c>
      <c r="AB89" s="45">
        <f>IF(AD89=21,J89,0)</f>
        <v>0</v>
      </c>
      <c r="AD89" s="45">
        <v>21</v>
      </c>
      <c r="AE89" s="45">
        <f>G89*1</f>
        <v>0</v>
      </c>
      <c r="AF89" s="45">
        <f>G89*(1-1)</f>
        <v>0</v>
      </c>
    </row>
    <row r="90" spans="1:32" ht="12.75">
      <c r="A90" s="11" t="s">
        <v>236</v>
      </c>
      <c r="B90" s="11"/>
      <c r="C90" s="11" t="s">
        <v>234</v>
      </c>
      <c r="D90" s="11" t="s">
        <v>237</v>
      </c>
      <c r="E90" s="11" t="s">
        <v>100</v>
      </c>
      <c r="F90" s="45">
        <v>1</v>
      </c>
      <c r="H90" s="45">
        <f>ROUND(F90*AE90,2)</f>
        <v>0</v>
      </c>
      <c r="I90" s="45">
        <f>J90-H90</f>
        <v>0</v>
      </c>
      <c r="J90" s="45">
        <f>ROUND(F90*G90,2)</f>
        <v>0</v>
      </c>
      <c r="K90" s="45">
        <v>0.00075</v>
      </c>
      <c r="L90" s="45">
        <f>F90*K90</f>
        <v>0.00075</v>
      </c>
      <c r="M90" s="46"/>
      <c r="N90" s="46" t="s">
        <v>60</v>
      </c>
      <c r="O90" s="45">
        <f>IF(N90="5",I90,0)</f>
        <v>0</v>
      </c>
      <c r="Z90" s="45">
        <f>IF(AD90=0,J90,0)</f>
        <v>0</v>
      </c>
      <c r="AA90" s="45">
        <f>IF(AD90=15,J90,0)</f>
        <v>0</v>
      </c>
      <c r="AB90" s="45">
        <f>IF(AD90=21,J90,0)</f>
        <v>0</v>
      </c>
      <c r="AD90" s="45">
        <v>21</v>
      </c>
      <c r="AE90" s="45">
        <f>G90*1</f>
        <v>0</v>
      </c>
      <c r="AF90" s="45">
        <f>G90*(1-1)</f>
        <v>0</v>
      </c>
    </row>
    <row r="91" spans="1:32" ht="12.75">
      <c r="A91" s="11" t="s">
        <v>238</v>
      </c>
      <c r="B91" s="11"/>
      <c r="C91" s="11" t="s">
        <v>239</v>
      </c>
      <c r="D91" s="11" t="s">
        <v>240</v>
      </c>
      <c r="E91" s="11" t="s">
        <v>100</v>
      </c>
      <c r="F91" s="45">
        <v>2</v>
      </c>
      <c r="H91" s="45">
        <f>ROUND(F91*AE91,2)</f>
        <v>0</v>
      </c>
      <c r="I91" s="45">
        <f>J91-H91</f>
        <v>0</v>
      </c>
      <c r="J91" s="45">
        <f>ROUND(F91*G91,2)</f>
        <v>0</v>
      </c>
      <c r="K91" s="45">
        <v>0.00134</v>
      </c>
      <c r="L91" s="45">
        <f>F91*K91</f>
        <v>0.00268</v>
      </c>
      <c r="M91" s="46"/>
      <c r="N91" s="46" t="s">
        <v>60</v>
      </c>
      <c r="O91" s="45">
        <f>IF(N91="5",I91,0)</f>
        <v>0</v>
      </c>
      <c r="Z91" s="45">
        <f>IF(AD91=0,J91,0)</f>
        <v>0</v>
      </c>
      <c r="AA91" s="45">
        <f>IF(AD91=15,J91,0)</f>
        <v>0</v>
      </c>
      <c r="AB91" s="45">
        <f>IF(AD91=21,J91,0)</f>
        <v>0</v>
      </c>
      <c r="AD91" s="45">
        <v>21</v>
      </c>
      <c r="AE91" s="45">
        <f>G91*1</f>
        <v>0</v>
      </c>
      <c r="AF91" s="45">
        <f>G91*(1-1)</f>
        <v>0</v>
      </c>
    </row>
    <row r="92" spans="1:32" ht="12.75">
      <c r="A92" s="42" t="s">
        <v>241</v>
      </c>
      <c r="B92" s="42"/>
      <c r="C92" s="42" t="s">
        <v>122</v>
      </c>
      <c r="D92" s="42" t="s">
        <v>123</v>
      </c>
      <c r="E92" s="42" t="s">
        <v>64</v>
      </c>
      <c r="F92" s="43">
        <v>1.10444</v>
      </c>
      <c r="H92" s="43">
        <f>ROUND(F92*AE92,2)</f>
        <v>0</v>
      </c>
      <c r="I92" s="43">
        <f>J92-H92</f>
        <v>0</v>
      </c>
      <c r="J92" s="43">
        <f>ROUND(F92*G92,2)</f>
        <v>0</v>
      </c>
      <c r="K92" s="43">
        <v>0</v>
      </c>
      <c r="L92" s="43">
        <f>F92*K92</f>
        <v>0</v>
      </c>
      <c r="M92" s="44" t="s">
        <v>52</v>
      </c>
      <c r="N92" s="44" t="s">
        <v>65</v>
      </c>
      <c r="O92" s="43">
        <f>IF(N92="5",I92,0)</f>
        <v>0</v>
      </c>
      <c r="Z92" s="43">
        <f>IF(AD92=0,J92,0)</f>
        <v>0</v>
      </c>
      <c r="AA92" s="43">
        <f>IF(AD92=15,J92,0)</f>
        <v>0</v>
      </c>
      <c r="AB92" s="43">
        <f>IF(AD92=21,J92,0)</f>
        <v>0</v>
      </c>
      <c r="AD92" s="45">
        <v>21</v>
      </c>
      <c r="AE92" s="45">
        <f>G92*0</f>
        <v>0</v>
      </c>
      <c r="AF92" s="45">
        <f>G92*(1-0)</f>
        <v>0</v>
      </c>
    </row>
    <row r="93" spans="1:37" ht="12.75">
      <c r="A93" s="39"/>
      <c r="B93" s="40"/>
      <c r="C93" s="40" t="s">
        <v>242</v>
      </c>
      <c r="D93" s="40" t="s">
        <v>243</v>
      </c>
      <c r="E93" s="40"/>
      <c r="F93" s="40"/>
      <c r="G93" s="40"/>
      <c r="H93" s="41">
        <f>SUM(H94:H96)</f>
        <v>0</v>
      </c>
      <c r="I93" s="41">
        <f>SUM(I94:I96)</f>
        <v>0</v>
      </c>
      <c r="J93" s="41">
        <f>H93+I93</f>
        <v>0</v>
      </c>
      <c r="K93" s="34"/>
      <c r="L93" s="41">
        <f>SUM(L94:L96)</f>
        <v>0.047</v>
      </c>
      <c r="M93" s="34"/>
      <c r="P93" s="41">
        <f>IF(Q93="PR",J93,SUM(O94:O96))</f>
        <v>0</v>
      </c>
      <c r="Q93" s="34" t="s">
        <v>126</v>
      </c>
      <c r="R93" s="41">
        <f>IF(Q93="HS",H93,0)</f>
        <v>0</v>
      </c>
      <c r="S93" s="41">
        <f>IF(Q93="HS",I93-P93,0)</f>
        <v>0</v>
      </c>
      <c r="T93" s="41">
        <f>IF(Q93="PS",H93,0)</f>
        <v>0</v>
      </c>
      <c r="U93" s="41">
        <f>IF(Q93="PS",I93-P93,0)</f>
        <v>0</v>
      </c>
      <c r="V93" s="41">
        <f>IF(Q93="MP",H93,0)</f>
        <v>0</v>
      </c>
      <c r="W93" s="41">
        <f>IF(Q93="MP",I93-P93,0)</f>
        <v>0</v>
      </c>
      <c r="X93" s="41">
        <f>IF(Q93="OM",H93,0)</f>
        <v>0</v>
      </c>
      <c r="Y93" s="34"/>
      <c r="AI93" s="41">
        <f>SUM(Z94:Z96)</f>
        <v>0</v>
      </c>
      <c r="AJ93" s="41">
        <f>SUM(AA94:AA96)</f>
        <v>0</v>
      </c>
      <c r="AK93" s="41">
        <f>SUM(AB94:AB96)</f>
        <v>0</v>
      </c>
    </row>
    <row r="94" spans="1:32" ht="12.75">
      <c r="A94" s="42" t="s">
        <v>244</v>
      </c>
      <c r="B94" s="42"/>
      <c r="C94" s="42" t="s">
        <v>245</v>
      </c>
      <c r="D94" s="42" t="s">
        <v>246</v>
      </c>
      <c r="E94" s="42" t="s">
        <v>247</v>
      </c>
      <c r="F94" s="43">
        <v>9</v>
      </c>
      <c r="H94" s="43">
        <f>ROUND(F94*AE94,2)</f>
        <v>0</v>
      </c>
      <c r="I94" s="43">
        <f>J94-H94</f>
        <v>0</v>
      </c>
      <c r="J94" s="43">
        <f>ROUND(F94*G94,2)</f>
        <v>0</v>
      </c>
      <c r="K94" s="43">
        <v>0.005</v>
      </c>
      <c r="L94" s="43">
        <f>F94*K94</f>
        <v>0.045</v>
      </c>
      <c r="M94" s="44" t="s">
        <v>52</v>
      </c>
      <c r="N94" s="44" t="s">
        <v>48</v>
      </c>
      <c r="O94" s="43">
        <f>IF(N94="5",I94,0)</f>
        <v>0</v>
      </c>
      <c r="Z94" s="43">
        <f>IF(AD94=0,J94,0)</f>
        <v>0</v>
      </c>
      <c r="AA94" s="43">
        <f>IF(AD94=15,J94,0)</f>
        <v>0</v>
      </c>
      <c r="AB94" s="43">
        <f>IF(AD94=21,J94,0)</f>
        <v>0</v>
      </c>
      <c r="AD94" s="45">
        <v>21</v>
      </c>
      <c r="AE94" s="45">
        <f>G94*0.00740740740740741</f>
        <v>0</v>
      </c>
      <c r="AF94" s="45">
        <f>G94*(1-0.00740740740740741)</f>
        <v>0</v>
      </c>
    </row>
    <row r="95" spans="1:32" ht="12.75">
      <c r="A95" s="42" t="s">
        <v>248</v>
      </c>
      <c r="B95" s="42"/>
      <c r="C95" s="42" t="s">
        <v>249</v>
      </c>
      <c r="D95" s="42" t="s">
        <v>250</v>
      </c>
      <c r="E95" s="42" t="s">
        <v>100</v>
      </c>
      <c r="F95" s="43">
        <v>2</v>
      </c>
      <c r="H95" s="43">
        <f>ROUND(F95*AE95,2)</f>
        <v>0</v>
      </c>
      <c r="I95" s="43">
        <f>J95-H95</f>
        <v>0</v>
      </c>
      <c r="J95" s="43">
        <f>ROUND(F95*G95,2)</f>
        <v>0</v>
      </c>
      <c r="K95" s="43">
        <v>0.001</v>
      </c>
      <c r="L95" s="43">
        <f>F95*K95</f>
        <v>0.002</v>
      </c>
      <c r="M95" s="44" t="s">
        <v>52</v>
      </c>
      <c r="N95" s="44" t="s">
        <v>48</v>
      </c>
      <c r="O95" s="43">
        <f>IF(N95="5",I95,0)</f>
        <v>0</v>
      </c>
      <c r="Z95" s="43">
        <f>IF(AD95=0,J95,0)</f>
        <v>0</v>
      </c>
      <c r="AA95" s="43">
        <f>IF(AD95=15,J95,0)</f>
        <v>0</v>
      </c>
      <c r="AB95" s="43">
        <f>IF(AD95=21,J95,0)</f>
        <v>0</v>
      </c>
      <c r="AD95" s="45">
        <v>21</v>
      </c>
      <c r="AE95" s="45">
        <f>G95*0</f>
        <v>0</v>
      </c>
      <c r="AF95" s="45">
        <f>G95*(1-0)</f>
        <v>0</v>
      </c>
    </row>
    <row r="96" spans="1:32" ht="12.75">
      <c r="A96" s="42" t="s">
        <v>75</v>
      </c>
      <c r="B96" s="42"/>
      <c r="C96" s="42" t="s">
        <v>251</v>
      </c>
      <c r="D96" s="42" t="s">
        <v>252</v>
      </c>
      <c r="E96" s="42" t="s">
        <v>64</v>
      </c>
      <c r="F96" s="43">
        <v>0.047</v>
      </c>
      <c r="H96" s="43">
        <f>ROUND(F96*AE96,2)</f>
        <v>0</v>
      </c>
      <c r="I96" s="43">
        <f>J96-H96</f>
        <v>0</v>
      </c>
      <c r="J96" s="43">
        <f>ROUND(F96*G96,2)</f>
        <v>0</v>
      </c>
      <c r="K96" s="43">
        <v>0</v>
      </c>
      <c r="L96" s="43">
        <f>F96*K96</f>
        <v>0</v>
      </c>
      <c r="M96" s="44" t="s">
        <v>52</v>
      </c>
      <c r="N96" s="44" t="s">
        <v>65</v>
      </c>
      <c r="O96" s="43">
        <f>IF(N96="5",I96,0)</f>
        <v>0</v>
      </c>
      <c r="Z96" s="43">
        <f>IF(AD96=0,J96,0)</f>
        <v>0</v>
      </c>
      <c r="AA96" s="43">
        <f>IF(AD96=15,J96,0)</f>
        <v>0</v>
      </c>
      <c r="AB96" s="43">
        <f>IF(AD96=21,J96,0)</f>
        <v>0</v>
      </c>
      <c r="AD96" s="45">
        <v>21</v>
      </c>
      <c r="AE96" s="45">
        <f>G96*0</f>
        <v>0</v>
      </c>
      <c r="AF96" s="45">
        <f>G96*(1-0)</f>
        <v>0</v>
      </c>
    </row>
    <row r="97" spans="1:37" ht="12.75">
      <c r="A97" s="39"/>
      <c r="B97" s="40"/>
      <c r="C97" s="40" t="s">
        <v>253</v>
      </c>
      <c r="D97" s="40" t="s">
        <v>254</v>
      </c>
      <c r="E97" s="40"/>
      <c r="F97" s="40"/>
      <c r="G97" s="40"/>
      <c r="H97" s="41">
        <f>SUM(H98:H110)</f>
        <v>0</v>
      </c>
      <c r="I97" s="41">
        <f>SUM(I98:I110)</f>
        <v>0</v>
      </c>
      <c r="J97" s="41">
        <f>H97+I97</f>
        <v>0</v>
      </c>
      <c r="K97" s="34"/>
      <c r="L97" s="41">
        <f>SUM(L98:L110)</f>
        <v>0.7407378999999998</v>
      </c>
      <c r="M97" s="34"/>
      <c r="P97" s="41">
        <f>IF(Q97="PR",J97,SUM(O98:O110))</f>
        <v>0</v>
      </c>
      <c r="Q97" s="34" t="s">
        <v>126</v>
      </c>
      <c r="R97" s="41">
        <f>IF(Q97="HS",H97,0)</f>
        <v>0</v>
      </c>
      <c r="S97" s="41">
        <f>IF(Q97="HS",I97-P97,0)</f>
        <v>0</v>
      </c>
      <c r="T97" s="41">
        <f>IF(Q97="PS",H97,0)</f>
        <v>0</v>
      </c>
      <c r="U97" s="41">
        <f>IF(Q97="PS",I97-P97,0)</f>
        <v>0</v>
      </c>
      <c r="V97" s="41">
        <f>IF(Q97="MP",H97,0)</f>
        <v>0</v>
      </c>
      <c r="W97" s="41">
        <f>IF(Q97="MP",I97-P97,0)</f>
        <v>0</v>
      </c>
      <c r="X97" s="41">
        <f>IF(Q97="OM",H97,0)</f>
        <v>0</v>
      </c>
      <c r="Y97" s="34"/>
      <c r="AI97" s="41">
        <f>SUM(Z98:Z110)</f>
        <v>0</v>
      </c>
      <c r="AJ97" s="41">
        <f>SUM(AA98:AA110)</f>
        <v>0</v>
      </c>
      <c r="AK97" s="41">
        <f>SUM(AB98:AB110)</f>
        <v>0</v>
      </c>
    </row>
    <row r="98" spans="1:32" ht="12.75">
      <c r="A98" s="42" t="s">
        <v>255</v>
      </c>
      <c r="B98" s="42"/>
      <c r="C98" s="42" t="s">
        <v>256</v>
      </c>
      <c r="D98" s="42" t="s">
        <v>257</v>
      </c>
      <c r="E98" s="42" t="s">
        <v>51</v>
      </c>
      <c r="F98" s="43">
        <v>12</v>
      </c>
      <c r="H98" s="43">
        <f>ROUND(F98*AE98,2)</f>
        <v>0</v>
      </c>
      <c r="I98" s="43">
        <f>J98-H98</f>
        <v>0</v>
      </c>
      <c r="J98" s="43">
        <f>ROUND(F98*G98,2)</f>
        <v>0</v>
      </c>
      <c r="K98" s="43">
        <v>0</v>
      </c>
      <c r="L98" s="43">
        <f>F98*K98</f>
        <v>0</v>
      </c>
      <c r="M98" s="44" t="s">
        <v>52</v>
      </c>
      <c r="N98" s="44" t="s">
        <v>48</v>
      </c>
      <c r="O98" s="43">
        <f>IF(N98="5",I98,0)</f>
        <v>0</v>
      </c>
      <c r="Z98" s="43">
        <f>IF(AD98=0,J98,0)</f>
        <v>0</v>
      </c>
      <c r="AA98" s="43">
        <f>IF(AD98=15,J98,0)</f>
        <v>0</v>
      </c>
      <c r="AB98" s="43">
        <f>IF(AD98=21,J98,0)</f>
        <v>0</v>
      </c>
      <c r="AD98" s="45">
        <v>21</v>
      </c>
      <c r="AE98" s="45">
        <f>G98*0</f>
        <v>0</v>
      </c>
      <c r="AF98" s="45">
        <f>G98*(1-0)</f>
        <v>0</v>
      </c>
    </row>
    <row r="99" spans="1:32" ht="12.75">
      <c r="A99" s="42" t="s">
        <v>89</v>
      </c>
      <c r="B99" s="42"/>
      <c r="C99" s="42" t="s">
        <v>256</v>
      </c>
      <c r="D99" s="42" t="s">
        <v>258</v>
      </c>
      <c r="E99" s="42" t="s">
        <v>51</v>
      </c>
      <c r="F99" s="43">
        <v>8.89</v>
      </c>
      <c r="H99" s="43">
        <f>ROUND(F99*AE99,2)</f>
        <v>0</v>
      </c>
      <c r="I99" s="43">
        <f>J99-H99</f>
        <v>0</v>
      </c>
      <c r="J99" s="43">
        <f>ROUND(F99*G99,2)</f>
        <v>0</v>
      </c>
      <c r="K99" s="43">
        <v>0</v>
      </c>
      <c r="L99" s="43">
        <f>F99*K99</f>
        <v>0</v>
      </c>
      <c r="M99" s="44" t="s">
        <v>52</v>
      </c>
      <c r="N99" s="44" t="s">
        <v>48</v>
      </c>
      <c r="O99" s="43">
        <f>IF(N99="5",I99,0)</f>
        <v>0</v>
      </c>
      <c r="Z99" s="43">
        <f>IF(AD99=0,J99,0)</f>
        <v>0</v>
      </c>
      <c r="AA99" s="43">
        <f>IF(AD99=15,J99,0)</f>
        <v>0</v>
      </c>
      <c r="AB99" s="43">
        <f>IF(AD99=21,J99,0)</f>
        <v>0</v>
      </c>
      <c r="AD99" s="45">
        <v>21</v>
      </c>
      <c r="AE99" s="45">
        <f>G99*0</f>
        <v>0</v>
      </c>
      <c r="AF99" s="45">
        <f>G99*(1-0)</f>
        <v>0</v>
      </c>
    </row>
    <row r="100" spans="1:32" ht="12.75">
      <c r="A100" s="11" t="s">
        <v>95</v>
      </c>
      <c r="B100" s="11"/>
      <c r="C100" s="11" t="s">
        <v>259</v>
      </c>
      <c r="D100" s="11" t="s">
        <v>260</v>
      </c>
      <c r="E100" s="11" t="s">
        <v>261</v>
      </c>
      <c r="F100" s="45">
        <v>204</v>
      </c>
      <c r="H100" s="45">
        <f>ROUND(F100*AE100,2)</f>
        <v>0</v>
      </c>
      <c r="I100" s="45">
        <f>J100-H100</f>
        <v>0</v>
      </c>
      <c r="J100" s="45">
        <f>ROUND(F100*G100,2)</f>
        <v>0</v>
      </c>
      <c r="K100" s="45">
        <v>0.001</v>
      </c>
      <c r="L100" s="45">
        <f>F100*K100</f>
        <v>0.20400000000000001</v>
      </c>
      <c r="M100" s="46"/>
      <c r="N100" s="46" t="s">
        <v>60</v>
      </c>
      <c r="O100" s="45">
        <f>IF(N100="5",I100,0)</f>
        <v>0</v>
      </c>
      <c r="Z100" s="45">
        <f>IF(AD100=0,J100,0)</f>
        <v>0</v>
      </c>
      <c r="AA100" s="45">
        <f>IF(AD100=15,J100,0)</f>
        <v>0</v>
      </c>
      <c r="AB100" s="45">
        <f>IF(AD100=21,J100,0)</f>
        <v>0</v>
      </c>
      <c r="AD100" s="45">
        <v>21</v>
      </c>
      <c r="AE100" s="45">
        <f>G100*1</f>
        <v>0</v>
      </c>
      <c r="AF100" s="45">
        <f>G100*(1-1)</f>
        <v>0</v>
      </c>
    </row>
    <row r="101" spans="1:32" ht="12.75">
      <c r="A101" s="11" t="s">
        <v>262</v>
      </c>
      <c r="B101" s="11"/>
      <c r="C101" s="11" t="s">
        <v>259</v>
      </c>
      <c r="D101" s="11" t="s">
        <v>263</v>
      </c>
      <c r="E101" s="11" t="s">
        <v>261</v>
      </c>
      <c r="F101" s="45">
        <v>43.8</v>
      </c>
      <c r="H101" s="45">
        <f>ROUND(F101*AE101,2)</f>
        <v>0</v>
      </c>
      <c r="I101" s="45">
        <f>J101-H101</f>
        <v>0</v>
      </c>
      <c r="J101" s="45">
        <f>ROUND(F101*G101,2)</f>
        <v>0</v>
      </c>
      <c r="K101" s="45">
        <v>0.001</v>
      </c>
      <c r="L101" s="45">
        <f>F101*K101</f>
        <v>0.0438</v>
      </c>
      <c r="M101" s="46"/>
      <c r="N101" s="46" t="s">
        <v>60</v>
      </c>
      <c r="O101" s="45">
        <f>IF(N101="5",I101,0)</f>
        <v>0</v>
      </c>
      <c r="Z101" s="45">
        <f>IF(AD101=0,J101,0)</f>
        <v>0</v>
      </c>
      <c r="AA101" s="45">
        <f>IF(AD101=15,J101,0)</f>
        <v>0</v>
      </c>
      <c r="AB101" s="45">
        <f>IF(AD101=21,J101,0)</f>
        <v>0</v>
      </c>
      <c r="AD101" s="45">
        <v>21</v>
      </c>
      <c r="AE101" s="45">
        <f>G101*1</f>
        <v>0</v>
      </c>
      <c r="AF101" s="45">
        <f>G101*(1-1)</f>
        <v>0</v>
      </c>
    </row>
    <row r="102" spans="1:32" ht="12.75">
      <c r="A102" s="42" t="s">
        <v>264</v>
      </c>
      <c r="B102" s="42"/>
      <c r="C102" s="42" t="s">
        <v>265</v>
      </c>
      <c r="D102" s="42" t="s">
        <v>266</v>
      </c>
      <c r="E102" s="42" t="s">
        <v>51</v>
      </c>
      <c r="F102" s="43">
        <v>20.89</v>
      </c>
      <c r="H102" s="43">
        <f>ROUND(F102*AE102,2)</f>
        <v>0</v>
      </c>
      <c r="I102" s="43">
        <f>J102-H102</f>
        <v>0</v>
      </c>
      <c r="J102" s="43">
        <f>ROUND(F102*G102,2)</f>
        <v>0</v>
      </c>
      <c r="K102" s="43">
        <v>0.00021</v>
      </c>
      <c r="L102" s="43">
        <f>F102*K102</f>
        <v>0.0043869</v>
      </c>
      <c r="M102" s="44" t="s">
        <v>52</v>
      </c>
      <c r="N102" s="44" t="s">
        <v>48</v>
      </c>
      <c r="O102" s="43">
        <f>IF(N102="5",I102,0)</f>
        <v>0</v>
      </c>
      <c r="Z102" s="43">
        <f>IF(AD102=0,J102,0)</f>
        <v>0</v>
      </c>
      <c r="AA102" s="43">
        <f>IF(AD102=15,J102,0)</f>
        <v>0</v>
      </c>
      <c r="AB102" s="43">
        <f>IF(AD102=21,J102,0)</f>
        <v>0</v>
      </c>
      <c r="AD102" s="45">
        <v>21</v>
      </c>
      <c r="AE102" s="45">
        <f>G102*0.562912087912088</f>
        <v>0</v>
      </c>
      <c r="AF102" s="45">
        <f>G102*(1-0.562912087912088)</f>
        <v>0</v>
      </c>
    </row>
    <row r="103" ht="12.75">
      <c r="D103" s="10" t="s">
        <v>267</v>
      </c>
    </row>
    <row r="104" spans="1:32" ht="12.75">
      <c r="A104" s="42" t="s">
        <v>268</v>
      </c>
      <c r="B104" s="42"/>
      <c r="C104" s="42" t="s">
        <v>269</v>
      </c>
      <c r="D104" s="42" t="s">
        <v>270</v>
      </c>
      <c r="E104" s="42" t="s">
        <v>51</v>
      </c>
      <c r="F104" s="43">
        <v>20.89</v>
      </c>
      <c r="H104" s="43">
        <f>ROUND(F104*AE104,2)</f>
        <v>0</v>
      </c>
      <c r="I104" s="43">
        <f>J104-H104</f>
        <v>0</v>
      </c>
      <c r="J104" s="43">
        <f>ROUND(F104*G104,2)</f>
        <v>0</v>
      </c>
      <c r="K104" s="43">
        <v>0</v>
      </c>
      <c r="L104" s="43">
        <f>F104*K104</f>
        <v>0</v>
      </c>
      <c r="M104" s="44" t="s">
        <v>52</v>
      </c>
      <c r="N104" s="44" t="s">
        <v>48</v>
      </c>
      <c r="O104" s="43">
        <f>IF(N104="5",I104,0)</f>
        <v>0</v>
      </c>
      <c r="Z104" s="43">
        <f>IF(AD104=0,J104,0)</f>
        <v>0</v>
      </c>
      <c r="AA104" s="43">
        <f>IF(AD104=15,J104,0)</f>
        <v>0</v>
      </c>
      <c r="AB104" s="43">
        <f>IF(AD104=21,J104,0)</f>
        <v>0</v>
      </c>
      <c r="AD104" s="45">
        <v>21</v>
      </c>
      <c r="AE104" s="45">
        <f>G104*0</f>
        <v>0</v>
      </c>
      <c r="AF104" s="45">
        <f>G104*(1-0)</f>
        <v>0</v>
      </c>
    </row>
    <row r="105" spans="1:32" ht="12.75">
      <c r="A105" s="11" t="s">
        <v>271</v>
      </c>
      <c r="B105" s="11"/>
      <c r="C105" s="11" t="s">
        <v>272</v>
      </c>
      <c r="D105" s="11" t="s">
        <v>273</v>
      </c>
      <c r="E105" s="11" t="s">
        <v>51</v>
      </c>
      <c r="F105" s="45">
        <v>24.02</v>
      </c>
      <c r="H105" s="45">
        <f>ROUND(F105*AE105,2)</f>
        <v>0</v>
      </c>
      <c r="I105" s="45">
        <f>J105-H105</f>
        <v>0</v>
      </c>
      <c r="J105" s="45">
        <f>ROUND(F105*G105,2)</f>
        <v>0</v>
      </c>
      <c r="K105" s="45">
        <v>0.0192</v>
      </c>
      <c r="L105" s="45">
        <f>F105*K105</f>
        <v>0.4611839999999999</v>
      </c>
      <c r="M105" s="46"/>
      <c r="N105" s="46" t="s">
        <v>60</v>
      </c>
      <c r="O105" s="45">
        <f>IF(N105="5",I105,0)</f>
        <v>0</v>
      </c>
      <c r="Z105" s="45">
        <f>IF(AD105=0,J105,0)</f>
        <v>0</v>
      </c>
      <c r="AA105" s="45">
        <f>IF(AD105=15,J105,0)</f>
        <v>0</v>
      </c>
      <c r="AB105" s="45">
        <f>IF(AD105=21,J105,0)</f>
        <v>0</v>
      </c>
      <c r="AD105" s="45">
        <v>21</v>
      </c>
      <c r="AE105" s="45">
        <f>G105*1</f>
        <v>0</v>
      </c>
      <c r="AF105" s="45">
        <f>G105*(1-1)</f>
        <v>0</v>
      </c>
    </row>
    <row r="106" spans="1:32" ht="12.75">
      <c r="A106" s="42" t="s">
        <v>274</v>
      </c>
      <c r="B106" s="42"/>
      <c r="C106" s="42" t="s">
        <v>275</v>
      </c>
      <c r="D106" s="42" t="s">
        <v>276</v>
      </c>
      <c r="E106" s="42" t="s">
        <v>51</v>
      </c>
      <c r="F106" s="43">
        <v>20.89</v>
      </c>
      <c r="H106" s="43">
        <f>ROUND(F106*AE106,2)</f>
        <v>0</v>
      </c>
      <c r="I106" s="43">
        <f>J106-H106</f>
        <v>0</v>
      </c>
      <c r="J106" s="43">
        <f>ROUND(F106*G106,2)</f>
        <v>0</v>
      </c>
      <c r="K106" s="43">
        <v>0.0009</v>
      </c>
      <c r="L106" s="43">
        <f>F106*K106</f>
        <v>0.018801</v>
      </c>
      <c r="M106" s="44" t="s">
        <v>52</v>
      </c>
      <c r="N106" s="44" t="s">
        <v>48</v>
      </c>
      <c r="O106" s="43">
        <f>IF(N106="5",I106,0)</f>
        <v>0</v>
      </c>
      <c r="Z106" s="43">
        <f>IF(AD106=0,J106,0)</f>
        <v>0</v>
      </c>
      <c r="AA106" s="43">
        <f>IF(AD106=15,J106,0)</f>
        <v>0</v>
      </c>
      <c r="AB106" s="43">
        <f>IF(AD106=21,J106,0)</f>
        <v>0</v>
      </c>
      <c r="AD106" s="45">
        <v>21</v>
      </c>
      <c r="AE106" s="45">
        <f>G106*1</f>
        <v>0</v>
      </c>
      <c r="AF106" s="45">
        <f>G106*(1-1)</f>
        <v>0</v>
      </c>
    </row>
    <row r="107" spans="1:32" ht="12.75">
      <c r="A107" s="11" t="s">
        <v>277</v>
      </c>
      <c r="B107" s="11"/>
      <c r="C107" s="11" t="s">
        <v>278</v>
      </c>
      <c r="D107" s="11" t="s">
        <v>279</v>
      </c>
      <c r="E107" s="11" t="s">
        <v>261</v>
      </c>
      <c r="F107" s="45">
        <v>8.15</v>
      </c>
      <c r="H107" s="45">
        <f>ROUND(F107*AE107,2)</f>
        <v>0</v>
      </c>
      <c r="I107" s="45">
        <f>J107-H107</f>
        <v>0</v>
      </c>
      <c r="J107" s="45">
        <f>ROUND(F107*G107,2)</f>
        <v>0</v>
      </c>
      <c r="K107" s="45">
        <v>0.001</v>
      </c>
      <c r="L107" s="45">
        <f>F107*K107</f>
        <v>0.008150000000000001</v>
      </c>
      <c r="M107" s="46" t="s">
        <v>52</v>
      </c>
      <c r="N107" s="46" t="s">
        <v>60</v>
      </c>
      <c r="O107" s="45">
        <f>IF(N107="5",I107,0)</f>
        <v>0</v>
      </c>
      <c r="Z107" s="45">
        <f>IF(AD107=0,J107,0)</f>
        <v>0</v>
      </c>
      <c r="AA107" s="45">
        <f>IF(AD107=15,J107,0)</f>
        <v>0</v>
      </c>
      <c r="AB107" s="45">
        <f>IF(AD107=21,J107,0)</f>
        <v>0</v>
      </c>
      <c r="AD107" s="45">
        <v>21</v>
      </c>
      <c r="AE107" s="45">
        <f>G107*1</f>
        <v>0</v>
      </c>
      <c r="AF107" s="45">
        <f>G107*(1-1)</f>
        <v>0</v>
      </c>
    </row>
    <row r="108" spans="1:32" ht="12.75">
      <c r="A108" s="42" t="s">
        <v>280</v>
      </c>
      <c r="B108" s="42"/>
      <c r="C108" s="42" t="s">
        <v>281</v>
      </c>
      <c r="D108" s="42" t="s">
        <v>282</v>
      </c>
      <c r="E108" s="42" t="s">
        <v>216</v>
      </c>
      <c r="F108" s="43">
        <v>1.6</v>
      </c>
      <c r="H108" s="43">
        <f>ROUND(F108*AE108,2)</f>
        <v>0</v>
      </c>
      <c r="I108" s="43">
        <f>J108-H108</f>
        <v>0</v>
      </c>
      <c r="J108" s="43">
        <f>ROUND(F108*G108,2)</f>
        <v>0</v>
      </c>
      <c r="K108" s="43">
        <v>0.00026</v>
      </c>
      <c r="L108" s="43">
        <f>F108*K108</f>
        <v>0.000416</v>
      </c>
      <c r="M108" s="44" t="s">
        <v>52</v>
      </c>
      <c r="N108" s="44" t="s">
        <v>48</v>
      </c>
      <c r="O108" s="43">
        <f>IF(N108="5",I108,0)</f>
        <v>0</v>
      </c>
      <c r="Z108" s="43">
        <f>IF(AD108=0,J108,0)</f>
        <v>0</v>
      </c>
      <c r="AA108" s="43">
        <f>IF(AD108=15,J108,0)</f>
        <v>0</v>
      </c>
      <c r="AB108" s="43">
        <f>IF(AD108=21,J108,0)</f>
        <v>0</v>
      </c>
      <c r="AD108" s="45">
        <v>21</v>
      </c>
      <c r="AE108" s="45">
        <f>G108*0.825484460694698</f>
        <v>0</v>
      </c>
      <c r="AF108" s="45">
        <f>G108*(1-0.825484460694698)</f>
        <v>0</v>
      </c>
    </row>
    <row r="109" ht="12.75">
      <c r="D109" s="10" t="s">
        <v>283</v>
      </c>
    </row>
    <row r="110" spans="1:32" ht="12.75">
      <c r="A110" s="42" t="s">
        <v>284</v>
      </c>
      <c r="B110" s="42"/>
      <c r="C110" s="42" t="s">
        <v>285</v>
      </c>
      <c r="D110" s="42" t="s">
        <v>286</v>
      </c>
      <c r="E110" s="42" t="s">
        <v>64</v>
      </c>
      <c r="F110" s="43">
        <v>0.74074</v>
      </c>
      <c r="H110" s="43">
        <f>ROUND(F110*AE110,2)</f>
        <v>0</v>
      </c>
      <c r="I110" s="43">
        <f>J110-H110</f>
        <v>0</v>
      </c>
      <c r="J110" s="43">
        <f>ROUND(F110*G110,2)</f>
        <v>0</v>
      </c>
      <c r="K110" s="43">
        <v>0</v>
      </c>
      <c r="L110" s="43">
        <f>F110*K110</f>
        <v>0</v>
      </c>
      <c r="M110" s="44" t="s">
        <v>52</v>
      </c>
      <c r="N110" s="44" t="s">
        <v>65</v>
      </c>
      <c r="O110" s="43">
        <f>IF(N110="5",I110,0)</f>
        <v>0</v>
      </c>
      <c r="Z110" s="43">
        <f>IF(AD110=0,J110,0)</f>
        <v>0</v>
      </c>
      <c r="AA110" s="43">
        <f>IF(AD110=15,J110,0)</f>
        <v>0</v>
      </c>
      <c r="AB110" s="43">
        <f>IF(AD110=21,J110,0)</f>
        <v>0</v>
      </c>
      <c r="AD110" s="45">
        <v>21</v>
      </c>
      <c r="AE110" s="45">
        <f>G110*0</f>
        <v>0</v>
      </c>
      <c r="AF110" s="45">
        <f>G110*(1-0)</f>
        <v>0</v>
      </c>
    </row>
    <row r="111" spans="1:37" ht="12.75">
      <c r="A111" s="39"/>
      <c r="B111" s="40"/>
      <c r="C111" s="40" t="s">
        <v>287</v>
      </c>
      <c r="D111" s="40" t="s">
        <v>288</v>
      </c>
      <c r="E111" s="40"/>
      <c r="F111" s="40"/>
      <c r="G111" s="40"/>
      <c r="H111" s="41">
        <f>SUM(H112:H116)</f>
        <v>0</v>
      </c>
      <c r="I111" s="41">
        <f>SUM(I112:I116)</f>
        <v>0</v>
      </c>
      <c r="J111" s="41">
        <f>H111+I111</f>
        <v>0</v>
      </c>
      <c r="K111" s="34"/>
      <c r="L111" s="41">
        <f>SUM(L112:L116)</f>
        <v>0.19033899999999998</v>
      </c>
      <c r="M111" s="34"/>
      <c r="P111" s="41">
        <f>IF(Q111="PR",J111,SUM(O112:O116))</f>
        <v>0</v>
      </c>
      <c r="Q111" s="34" t="s">
        <v>126</v>
      </c>
      <c r="R111" s="41">
        <f>IF(Q111="HS",H111,0)</f>
        <v>0</v>
      </c>
      <c r="S111" s="41">
        <f>IF(Q111="HS",I111-P111,0)</f>
        <v>0</v>
      </c>
      <c r="T111" s="41">
        <f>IF(Q111="PS",H111,0)</f>
        <v>0</v>
      </c>
      <c r="U111" s="41">
        <f>IF(Q111="PS",I111-P111,0)</f>
        <v>0</v>
      </c>
      <c r="V111" s="41">
        <f>IF(Q111="MP",H111,0)</f>
        <v>0</v>
      </c>
      <c r="W111" s="41">
        <f>IF(Q111="MP",I111-P111,0)</f>
        <v>0</v>
      </c>
      <c r="X111" s="41">
        <f>IF(Q111="OM",H111,0)</f>
        <v>0</v>
      </c>
      <c r="Y111" s="34"/>
      <c r="AI111" s="41">
        <f>SUM(Z112:Z116)</f>
        <v>0</v>
      </c>
      <c r="AJ111" s="41">
        <f>SUM(AA112:AA116)</f>
        <v>0</v>
      </c>
      <c r="AK111" s="41">
        <f>SUM(AB112:AB116)</f>
        <v>0</v>
      </c>
    </row>
    <row r="112" spans="1:32" ht="12.75">
      <c r="A112" s="42" t="s">
        <v>289</v>
      </c>
      <c r="B112" s="42"/>
      <c r="C112" s="42" t="s">
        <v>290</v>
      </c>
      <c r="D112" s="42" t="s">
        <v>291</v>
      </c>
      <c r="E112" s="42" t="s">
        <v>51</v>
      </c>
      <c r="F112" s="43">
        <v>52.86</v>
      </c>
      <c r="H112" s="43">
        <f>ROUND(F112*AE112,2)</f>
        <v>0</v>
      </c>
      <c r="I112" s="43">
        <f>J112-H112</f>
        <v>0</v>
      </c>
      <c r="J112" s="43">
        <f>ROUND(F112*G112,2)</f>
        <v>0</v>
      </c>
      <c r="K112" s="43">
        <v>0.00153</v>
      </c>
      <c r="L112" s="43">
        <f>F112*K112</f>
        <v>0.0808758</v>
      </c>
      <c r="M112" s="44"/>
      <c r="N112" s="44" t="s">
        <v>48</v>
      </c>
      <c r="O112" s="43">
        <f>IF(N112="5",I112,0)</f>
        <v>0</v>
      </c>
      <c r="Z112" s="43">
        <f>IF(AD112=0,J112,0)</f>
        <v>0</v>
      </c>
      <c r="AA112" s="43">
        <f>IF(AD112=15,J112,0)</f>
        <v>0</v>
      </c>
      <c r="AB112" s="43">
        <f>IF(AD112=21,J112,0)</f>
        <v>0</v>
      </c>
      <c r="AD112" s="45">
        <v>21</v>
      </c>
      <c r="AE112" s="45">
        <f>G112*0.258269230769231</f>
        <v>0</v>
      </c>
      <c r="AF112" s="45">
        <f>G112*(1-0.258269230769231)</f>
        <v>0</v>
      </c>
    </row>
    <row r="113" ht="12.75">
      <c r="D113" s="10" t="s">
        <v>292</v>
      </c>
    </row>
    <row r="114" spans="1:32" ht="12.75">
      <c r="A114" s="42" t="s">
        <v>293</v>
      </c>
      <c r="B114" s="42"/>
      <c r="C114" s="42" t="s">
        <v>294</v>
      </c>
      <c r="D114" s="42" t="s">
        <v>295</v>
      </c>
      <c r="E114" s="42" t="s">
        <v>51</v>
      </c>
      <c r="F114" s="43">
        <v>142.16</v>
      </c>
      <c r="H114" s="43">
        <f>ROUND(F114*AE114,2)</f>
        <v>0</v>
      </c>
      <c r="I114" s="43">
        <f>J114-H114</f>
        <v>0</v>
      </c>
      <c r="J114" s="43">
        <f>ROUND(F114*G114,2)</f>
        <v>0</v>
      </c>
      <c r="K114" s="43">
        <v>0.00077</v>
      </c>
      <c r="L114" s="43">
        <f>F114*K114</f>
        <v>0.1094632</v>
      </c>
      <c r="M114" s="44"/>
      <c r="N114" s="44" t="s">
        <v>48</v>
      </c>
      <c r="O114" s="43">
        <f>IF(N114="5",I114,0)</f>
        <v>0</v>
      </c>
      <c r="Z114" s="43">
        <f>IF(AD114=0,J114,0)</f>
        <v>0</v>
      </c>
      <c r="AA114" s="43">
        <f>IF(AD114=15,J114,0)</f>
        <v>0</v>
      </c>
      <c r="AB114" s="43">
        <f>IF(AD114=21,J114,0)</f>
        <v>0</v>
      </c>
      <c r="AD114" s="45">
        <v>21</v>
      </c>
      <c r="AE114" s="45">
        <f>G114*0.258333333333333</f>
        <v>0</v>
      </c>
      <c r="AF114" s="45">
        <f>G114*(1-0.258333333333333)</f>
        <v>0</v>
      </c>
    </row>
    <row r="115" ht="12.75">
      <c r="D115" s="10" t="s">
        <v>296</v>
      </c>
    </row>
    <row r="116" spans="1:32" ht="12.75">
      <c r="A116" s="42" t="s">
        <v>297</v>
      </c>
      <c r="B116" s="42"/>
      <c r="C116" s="42" t="s">
        <v>298</v>
      </c>
      <c r="D116" s="42" t="s">
        <v>299</v>
      </c>
      <c r="E116" s="42" t="s">
        <v>64</v>
      </c>
      <c r="F116" s="43">
        <v>0.19034</v>
      </c>
      <c r="H116" s="43">
        <f>ROUND(F116*AE116,2)</f>
        <v>0</v>
      </c>
      <c r="I116" s="43">
        <f>J116-H116</f>
        <v>0</v>
      </c>
      <c r="J116" s="43">
        <f>ROUND(F116*G116,2)</f>
        <v>0</v>
      </c>
      <c r="K116" s="43">
        <v>0</v>
      </c>
      <c r="L116" s="43">
        <f>F116*K116</f>
        <v>0</v>
      </c>
      <c r="M116" s="44" t="s">
        <v>52</v>
      </c>
      <c r="N116" s="44" t="s">
        <v>65</v>
      </c>
      <c r="O116" s="43">
        <f>IF(N116="5",I116,0)</f>
        <v>0</v>
      </c>
      <c r="Z116" s="43">
        <f>IF(AD116=0,J116,0)</f>
        <v>0</v>
      </c>
      <c r="AA116" s="43">
        <f>IF(AD116=15,J116,0)</f>
        <v>0</v>
      </c>
      <c r="AB116" s="43">
        <f>IF(AD116=21,J116,0)</f>
        <v>0</v>
      </c>
      <c r="AD116" s="45">
        <v>21</v>
      </c>
      <c r="AE116" s="45">
        <f>G116*0</f>
        <v>0</v>
      </c>
      <c r="AF116" s="45">
        <f>G116*(1-0)</f>
        <v>0</v>
      </c>
    </row>
    <row r="117" spans="1:37" ht="12.75">
      <c r="A117" s="39"/>
      <c r="B117" s="40"/>
      <c r="C117" s="40" t="s">
        <v>300</v>
      </c>
      <c r="D117" s="40" t="s">
        <v>301</v>
      </c>
      <c r="E117" s="40"/>
      <c r="F117" s="40"/>
      <c r="G117" s="40"/>
      <c r="H117" s="41">
        <f>SUM(H118:H126)</f>
        <v>0</v>
      </c>
      <c r="I117" s="41">
        <f>SUM(I118:I126)</f>
        <v>0</v>
      </c>
      <c r="J117" s="41">
        <f>H117+I117</f>
        <v>0</v>
      </c>
      <c r="K117" s="34"/>
      <c r="L117" s="41">
        <f>SUM(L118:L126)</f>
        <v>0.3003612</v>
      </c>
      <c r="M117" s="34"/>
      <c r="P117" s="41">
        <f>IF(Q117="PR",J117,SUM(O118:O126))</f>
        <v>0</v>
      </c>
      <c r="Q117" s="34" t="s">
        <v>126</v>
      </c>
      <c r="R117" s="41">
        <f>IF(Q117="HS",H117,0)</f>
        <v>0</v>
      </c>
      <c r="S117" s="41">
        <f>IF(Q117="HS",I117-P117,0)</f>
        <v>0</v>
      </c>
      <c r="T117" s="41">
        <f>IF(Q117="PS",H117,0)</f>
        <v>0</v>
      </c>
      <c r="U117" s="41">
        <f>IF(Q117="PS",I117-P117,0)</f>
        <v>0</v>
      </c>
      <c r="V117" s="41">
        <f>IF(Q117="MP",H117,0)</f>
        <v>0</v>
      </c>
      <c r="W117" s="41">
        <f>IF(Q117="MP",I117-P117,0)</f>
        <v>0</v>
      </c>
      <c r="X117" s="41">
        <f>IF(Q117="OM",H117,0)</f>
        <v>0</v>
      </c>
      <c r="Y117" s="34"/>
      <c r="AI117" s="41">
        <f>SUM(Z118:Z126)</f>
        <v>0</v>
      </c>
      <c r="AJ117" s="41">
        <f>SUM(AA118:AA126)</f>
        <v>0</v>
      </c>
      <c r="AK117" s="41">
        <f>SUM(AB118:AB126)</f>
        <v>0</v>
      </c>
    </row>
    <row r="118" spans="1:32" ht="12.75">
      <c r="A118" s="42" t="s">
        <v>302</v>
      </c>
      <c r="B118" s="42"/>
      <c r="C118" s="42" t="s">
        <v>303</v>
      </c>
      <c r="D118" s="42" t="s">
        <v>304</v>
      </c>
      <c r="E118" s="42" t="s">
        <v>51</v>
      </c>
      <c r="F118" s="43">
        <v>52.13</v>
      </c>
      <c r="H118" s="43">
        <f>ROUND(F118*AE118,2)</f>
        <v>0</v>
      </c>
      <c r="I118" s="43">
        <f>J118-H118</f>
        <v>0</v>
      </c>
      <c r="J118" s="43">
        <f>ROUND(F118*G118,2)</f>
        <v>0</v>
      </c>
      <c r="K118" s="43">
        <v>1E-05</v>
      </c>
      <c r="L118" s="43">
        <f>F118*K118</f>
        <v>0.0005213</v>
      </c>
      <c r="M118" s="44" t="s">
        <v>52</v>
      </c>
      <c r="N118" s="44" t="s">
        <v>48</v>
      </c>
      <c r="O118" s="43">
        <f>IF(N118="5",I118,0)</f>
        <v>0</v>
      </c>
      <c r="Z118" s="43">
        <f>IF(AD118=0,J118,0)</f>
        <v>0</v>
      </c>
      <c r="AA118" s="43">
        <f>IF(AD118=15,J118,0)</f>
        <v>0</v>
      </c>
      <c r="AB118" s="43">
        <f>IF(AD118=21,J118,0)</f>
        <v>0</v>
      </c>
      <c r="AD118" s="45">
        <v>21</v>
      </c>
      <c r="AE118" s="45">
        <f>G118*0.0958227848101266</f>
        <v>0</v>
      </c>
      <c r="AF118" s="45">
        <f>G118*(1-0.0958227848101266)</f>
        <v>0</v>
      </c>
    </row>
    <row r="119" spans="1:32" ht="12.75">
      <c r="A119" s="42" t="s">
        <v>305</v>
      </c>
      <c r="B119" s="42"/>
      <c r="C119" s="42" t="s">
        <v>306</v>
      </c>
      <c r="D119" s="42" t="s">
        <v>307</v>
      </c>
      <c r="E119" s="42" t="s">
        <v>51</v>
      </c>
      <c r="F119" s="43">
        <v>52.13</v>
      </c>
      <c r="H119" s="43">
        <f>ROUND(F119*AE119,2)</f>
        <v>0</v>
      </c>
      <c r="I119" s="43">
        <f>J119-H119</f>
        <v>0</v>
      </c>
      <c r="J119" s="43">
        <f>ROUND(F119*G119,2)</f>
        <v>0</v>
      </c>
      <c r="K119" s="43">
        <v>0.00033</v>
      </c>
      <c r="L119" s="43">
        <f>F119*K119</f>
        <v>0.0172029</v>
      </c>
      <c r="M119" s="44" t="s">
        <v>52</v>
      </c>
      <c r="N119" s="44" t="s">
        <v>48</v>
      </c>
      <c r="O119" s="43">
        <f>IF(N119="5",I119,0)</f>
        <v>0</v>
      </c>
      <c r="Z119" s="43">
        <f>IF(AD119=0,J119,0)</f>
        <v>0</v>
      </c>
      <c r="AA119" s="43">
        <f>IF(AD119=15,J119,0)</f>
        <v>0</v>
      </c>
      <c r="AB119" s="43">
        <f>IF(AD119=21,J119,0)</f>
        <v>0</v>
      </c>
      <c r="AD119" s="45">
        <v>21</v>
      </c>
      <c r="AE119" s="45">
        <f>G119*0.46817842887846</f>
        <v>0</v>
      </c>
      <c r="AF119" s="45">
        <f>G119*(1-0.46817842887846)</f>
        <v>0</v>
      </c>
    </row>
    <row r="120" spans="1:32" ht="12.75">
      <c r="A120" s="42" t="s">
        <v>308</v>
      </c>
      <c r="B120" s="42"/>
      <c r="C120" s="42" t="s">
        <v>309</v>
      </c>
      <c r="D120" s="42" t="s">
        <v>310</v>
      </c>
      <c r="E120" s="42" t="s">
        <v>216</v>
      </c>
      <c r="F120" s="43">
        <v>13.5</v>
      </c>
      <c r="H120" s="43">
        <f>ROUND(F120*AE120,2)</f>
        <v>0</v>
      </c>
      <c r="I120" s="43">
        <f>J120-H120</f>
        <v>0</v>
      </c>
      <c r="J120" s="43">
        <f>ROUND(F120*G120,2)</f>
        <v>0</v>
      </c>
      <c r="K120" s="43">
        <v>0.00023</v>
      </c>
      <c r="L120" s="43">
        <f>F120*K120</f>
        <v>0.003105</v>
      </c>
      <c r="M120" s="44" t="s">
        <v>52</v>
      </c>
      <c r="N120" s="44" t="s">
        <v>48</v>
      </c>
      <c r="O120" s="43">
        <f>IF(N120="5",I120,0)</f>
        <v>0</v>
      </c>
      <c r="Z120" s="43">
        <f>IF(AD120=0,J120,0)</f>
        <v>0</v>
      </c>
      <c r="AA120" s="43">
        <f>IF(AD120=15,J120,0)</f>
        <v>0</v>
      </c>
      <c r="AB120" s="43">
        <f>IF(AD120=21,J120,0)</f>
        <v>0</v>
      </c>
      <c r="AD120" s="45">
        <v>21</v>
      </c>
      <c r="AE120" s="45">
        <f>G120*0.747340946166395</f>
        <v>0</v>
      </c>
      <c r="AF120" s="45">
        <f>G120*(1-0.747340946166395)</f>
        <v>0</v>
      </c>
    </row>
    <row r="121" ht="12.75">
      <c r="D121" s="10" t="s">
        <v>311</v>
      </c>
    </row>
    <row r="122" spans="1:32" ht="12.75">
      <c r="A122" s="42" t="s">
        <v>312</v>
      </c>
      <c r="B122" s="42"/>
      <c r="C122" s="42" t="s">
        <v>313</v>
      </c>
      <c r="D122" s="42" t="s">
        <v>314</v>
      </c>
      <c r="E122" s="42" t="s">
        <v>51</v>
      </c>
      <c r="F122" s="43">
        <v>12.7</v>
      </c>
      <c r="H122" s="43">
        <f>ROUND(F122*AE122,2)</f>
        <v>0</v>
      </c>
      <c r="I122" s="43">
        <f>J122-H122</f>
        <v>0</v>
      </c>
      <c r="J122" s="43">
        <f>ROUND(F122*G122,2)</f>
        <v>0</v>
      </c>
      <c r="K122" s="43">
        <v>0.02</v>
      </c>
      <c r="L122" s="43">
        <f>F122*K122</f>
        <v>0.254</v>
      </c>
      <c r="M122" s="44" t="s">
        <v>52</v>
      </c>
      <c r="N122" s="44" t="s">
        <v>48</v>
      </c>
      <c r="O122" s="43">
        <f>IF(N122="5",I122,0)</f>
        <v>0</v>
      </c>
      <c r="Z122" s="43">
        <f>IF(AD122=0,J122,0)</f>
        <v>0</v>
      </c>
      <c r="AA122" s="43">
        <f>IF(AD122=15,J122,0)</f>
        <v>0</v>
      </c>
      <c r="AB122" s="43">
        <f>IF(AD122=21,J122,0)</f>
        <v>0</v>
      </c>
      <c r="AD122" s="45">
        <v>21</v>
      </c>
      <c r="AE122" s="45">
        <f>G122*0</f>
        <v>0</v>
      </c>
      <c r="AF122" s="45">
        <f>G122*(1-0)</f>
        <v>0</v>
      </c>
    </row>
    <row r="123" spans="1:32" ht="12.75">
      <c r="A123" s="42" t="s">
        <v>315</v>
      </c>
      <c r="B123" s="42"/>
      <c r="C123" s="42" t="s">
        <v>195</v>
      </c>
      <c r="D123" s="42" t="s">
        <v>196</v>
      </c>
      <c r="E123" s="42" t="s">
        <v>64</v>
      </c>
      <c r="F123" s="43">
        <v>0.254</v>
      </c>
      <c r="H123" s="43">
        <f>ROUND(F123*AE123,2)</f>
        <v>0</v>
      </c>
      <c r="I123" s="43">
        <f>J123-H123</f>
        <v>0</v>
      </c>
      <c r="J123" s="43">
        <f>ROUND(F123*G123,2)</f>
        <v>0</v>
      </c>
      <c r="K123" s="43">
        <v>0</v>
      </c>
      <c r="L123" s="43">
        <f>F123*K123</f>
        <v>0</v>
      </c>
      <c r="M123" s="44" t="s">
        <v>52</v>
      </c>
      <c r="N123" s="44" t="s">
        <v>65</v>
      </c>
      <c r="O123" s="43">
        <f>IF(N123="5",I123,0)</f>
        <v>0</v>
      </c>
      <c r="Z123" s="43">
        <f>IF(AD123=0,J123,0)</f>
        <v>0</v>
      </c>
      <c r="AA123" s="43">
        <f>IF(AD123=15,J123,0)</f>
        <v>0</v>
      </c>
      <c r="AB123" s="43">
        <f>IF(AD123=21,J123,0)</f>
        <v>0</v>
      </c>
      <c r="AD123" s="45">
        <v>21</v>
      </c>
      <c r="AE123" s="45">
        <f>G123*0</f>
        <v>0</v>
      </c>
      <c r="AF123" s="45">
        <f>G123*(1-0)</f>
        <v>0</v>
      </c>
    </row>
    <row r="124" spans="1:32" ht="12.75">
      <c r="A124" s="42" t="s">
        <v>316</v>
      </c>
      <c r="B124" s="42"/>
      <c r="C124" s="42" t="s">
        <v>317</v>
      </c>
      <c r="D124" s="42" t="s">
        <v>318</v>
      </c>
      <c r="E124" s="42" t="s">
        <v>216</v>
      </c>
      <c r="F124" s="43">
        <v>116.05</v>
      </c>
      <c r="H124" s="43">
        <f>ROUND(F124*AE124,2)</f>
        <v>0</v>
      </c>
      <c r="I124" s="43">
        <f>J124-H124</f>
        <v>0</v>
      </c>
      <c r="J124" s="43">
        <f>ROUND(F124*G124,2)</f>
        <v>0</v>
      </c>
      <c r="K124" s="43">
        <v>0</v>
      </c>
      <c r="L124" s="43">
        <f>F124*K124</f>
        <v>0</v>
      </c>
      <c r="M124" s="44" t="s">
        <v>52</v>
      </c>
      <c r="N124" s="44" t="s">
        <v>48</v>
      </c>
      <c r="O124" s="43">
        <f>IF(N124="5",I124,0)</f>
        <v>0</v>
      </c>
      <c r="Z124" s="43">
        <f>IF(AD124=0,J124,0)</f>
        <v>0</v>
      </c>
      <c r="AA124" s="43">
        <f>IF(AD124=15,J124,0)</f>
        <v>0</v>
      </c>
      <c r="AB124" s="43">
        <f>IF(AD124=21,J124,0)</f>
        <v>0</v>
      </c>
      <c r="AD124" s="45">
        <v>21</v>
      </c>
      <c r="AE124" s="45">
        <f>G124*0.00503597122302158</f>
        <v>0</v>
      </c>
      <c r="AF124" s="45">
        <f>G124*(1-0.00503597122302158)</f>
        <v>0</v>
      </c>
    </row>
    <row r="125" spans="1:32" ht="12.75">
      <c r="A125" s="11" t="s">
        <v>319</v>
      </c>
      <c r="B125" s="11"/>
      <c r="C125" s="11" t="s">
        <v>320</v>
      </c>
      <c r="D125" s="11" t="s">
        <v>321</v>
      </c>
      <c r="E125" s="11" t="s">
        <v>216</v>
      </c>
      <c r="F125" s="45">
        <v>127.66</v>
      </c>
      <c r="H125" s="45">
        <f>ROUND(F125*AE125,2)</f>
        <v>0</v>
      </c>
      <c r="I125" s="45">
        <f>J125-H125</f>
        <v>0</v>
      </c>
      <c r="J125" s="45">
        <f>ROUND(F125*G125,2)</f>
        <v>0</v>
      </c>
      <c r="K125" s="45">
        <v>0.0002</v>
      </c>
      <c r="L125" s="45">
        <f>F125*K125</f>
        <v>0.025532</v>
      </c>
      <c r="M125" s="46"/>
      <c r="N125" s="46" t="s">
        <v>60</v>
      </c>
      <c r="O125" s="45">
        <f>IF(N125="5",I125,0)</f>
        <v>0</v>
      </c>
      <c r="Z125" s="45">
        <f>IF(AD125=0,J125,0)</f>
        <v>0</v>
      </c>
      <c r="AA125" s="45">
        <f>IF(AD125=15,J125,0)</f>
        <v>0</v>
      </c>
      <c r="AB125" s="45">
        <f>IF(AD125=21,J125,0)</f>
        <v>0</v>
      </c>
      <c r="AD125" s="45">
        <v>21</v>
      </c>
      <c r="AE125" s="45">
        <f>G125*1</f>
        <v>0</v>
      </c>
      <c r="AF125" s="45">
        <f>G125*(1-1)</f>
        <v>0</v>
      </c>
    </row>
    <row r="126" spans="1:32" ht="12.75">
      <c r="A126" s="42" t="s">
        <v>322</v>
      </c>
      <c r="B126" s="42"/>
      <c r="C126" s="42" t="s">
        <v>323</v>
      </c>
      <c r="D126" s="42" t="s">
        <v>324</v>
      </c>
      <c r="E126" s="42" t="s">
        <v>64</v>
      </c>
      <c r="F126" s="43">
        <v>0.04636</v>
      </c>
      <c r="H126" s="43">
        <f>ROUND(F126*AE126,2)</f>
        <v>0</v>
      </c>
      <c r="I126" s="43">
        <f>J126-H126</f>
        <v>0</v>
      </c>
      <c r="J126" s="43">
        <f>ROUND(F126*G126,2)</f>
        <v>0</v>
      </c>
      <c r="K126" s="43">
        <v>0</v>
      </c>
      <c r="L126" s="43">
        <f>F126*K126</f>
        <v>0</v>
      </c>
      <c r="M126" s="44" t="s">
        <v>52</v>
      </c>
      <c r="N126" s="44" t="s">
        <v>65</v>
      </c>
      <c r="O126" s="43">
        <f>IF(N126="5",I126,0)</f>
        <v>0</v>
      </c>
      <c r="Z126" s="43">
        <f>IF(AD126=0,J126,0)</f>
        <v>0</v>
      </c>
      <c r="AA126" s="43">
        <f>IF(AD126=15,J126,0)</f>
        <v>0</v>
      </c>
      <c r="AB126" s="43">
        <f>IF(AD126=21,J126,0)</f>
        <v>0</v>
      </c>
      <c r="AD126" s="45">
        <v>21</v>
      </c>
      <c r="AE126" s="45">
        <f>G126*0</f>
        <v>0</v>
      </c>
      <c r="AF126" s="45">
        <f>G126*(1-0)</f>
        <v>0</v>
      </c>
    </row>
    <row r="127" spans="1:37" ht="12.75">
      <c r="A127" s="39"/>
      <c r="B127" s="40"/>
      <c r="C127" s="40" t="s">
        <v>325</v>
      </c>
      <c r="D127" s="40" t="s">
        <v>326</v>
      </c>
      <c r="E127" s="40"/>
      <c r="F127" s="40"/>
      <c r="G127" s="40"/>
      <c r="H127" s="41">
        <f>SUM(H128:H129)</f>
        <v>0</v>
      </c>
      <c r="I127" s="41">
        <f>SUM(I128:I129)</f>
        <v>0</v>
      </c>
      <c r="J127" s="41">
        <f>H127+I127</f>
        <v>0</v>
      </c>
      <c r="K127" s="34"/>
      <c r="L127" s="41">
        <f>SUM(L128:L129)</f>
        <v>0.0887</v>
      </c>
      <c r="M127" s="34"/>
      <c r="P127" s="41">
        <f>IF(Q127="PR",J127,SUM(O128:O129))</f>
        <v>0</v>
      </c>
      <c r="Q127" s="34" t="s">
        <v>126</v>
      </c>
      <c r="R127" s="41">
        <f>IF(Q127="HS",H127,0)</f>
        <v>0</v>
      </c>
      <c r="S127" s="41">
        <f>IF(Q127="HS",I127-P127,0)</f>
        <v>0</v>
      </c>
      <c r="T127" s="41">
        <f>IF(Q127="PS",H127,0)</f>
        <v>0</v>
      </c>
      <c r="U127" s="41">
        <f>IF(Q127="PS",I127-P127,0)</f>
        <v>0</v>
      </c>
      <c r="V127" s="41">
        <f>IF(Q127="MP",H127,0)</f>
        <v>0</v>
      </c>
      <c r="W127" s="41">
        <f>IF(Q127="MP",I127-P127,0)</f>
        <v>0</v>
      </c>
      <c r="X127" s="41">
        <f>IF(Q127="OM",H127,0)</f>
        <v>0</v>
      </c>
      <c r="Y127" s="34"/>
      <c r="AI127" s="41">
        <f>SUM(Z128:Z129)</f>
        <v>0</v>
      </c>
      <c r="AJ127" s="41">
        <f>SUM(AA128:AA129)</f>
        <v>0</v>
      </c>
      <c r="AK127" s="41">
        <f>SUM(AB128:AB129)</f>
        <v>0</v>
      </c>
    </row>
    <row r="128" spans="1:32" ht="12.75">
      <c r="A128" s="42" t="s">
        <v>327</v>
      </c>
      <c r="B128" s="42"/>
      <c r="C128" s="42" t="s">
        <v>328</v>
      </c>
      <c r="D128" s="42" t="s">
        <v>329</v>
      </c>
      <c r="E128" s="42" t="s">
        <v>51</v>
      </c>
      <c r="F128" s="43">
        <v>88.7</v>
      </c>
      <c r="H128" s="43">
        <f>ROUND(F128*AE128,2)</f>
        <v>0</v>
      </c>
      <c r="I128" s="43">
        <f>J128-H128</f>
        <v>0</v>
      </c>
      <c r="J128" s="43">
        <f>ROUND(F128*G128,2)</f>
        <v>0</v>
      </c>
      <c r="K128" s="43">
        <v>0.001</v>
      </c>
      <c r="L128" s="43">
        <f>F128*K128</f>
        <v>0.0887</v>
      </c>
      <c r="M128" s="44" t="s">
        <v>52</v>
      </c>
      <c r="N128" s="44" t="s">
        <v>48</v>
      </c>
      <c r="O128" s="43">
        <f>IF(N128="5",I128,0)</f>
        <v>0</v>
      </c>
      <c r="Z128" s="43">
        <f>IF(AD128=0,J128,0)</f>
        <v>0</v>
      </c>
      <c r="AA128" s="43">
        <f>IF(AD128=15,J128,0)</f>
        <v>0</v>
      </c>
      <c r="AB128" s="43">
        <f>IF(AD128=21,J128,0)</f>
        <v>0</v>
      </c>
      <c r="AD128" s="45">
        <v>21</v>
      </c>
      <c r="AE128" s="45">
        <f>G128*0</f>
        <v>0</v>
      </c>
      <c r="AF128" s="45">
        <f>G128*(1-0)</f>
        <v>0</v>
      </c>
    </row>
    <row r="129" spans="1:32" ht="12.75">
      <c r="A129" s="42" t="s">
        <v>330</v>
      </c>
      <c r="B129" s="42"/>
      <c r="C129" s="42" t="s">
        <v>195</v>
      </c>
      <c r="D129" s="42" t="s">
        <v>196</v>
      </c>
      <c r="E129" s="42" t="s">
        <v>64</v>
      </c>
      <c r="F129" s="43">
        <v>0.0887</v>
      </c>
      <c r="H129" s="43">
        <f>ROUND(F129*AE129,2)</f>
        <v>0</v>
      </c>
      <c r="I129" s="43">
        <f>J129-H129</f>
        <v>0</v>
      </c>
      <c r="J129" s="43">
        <f>ROUND(F129*G129,2)</f>
        <v>0</v>
      </c>
      <c r="K129" s="43">
        <v>0</v>
      </c>
      <c r="L129" s="43">
        <f>F129*K129</f>
        <v>0</v>
      </c>
      <c r="M129" s="44" t="s">
        <v>52</v>
      </c>
      <c r="N129" s="44" t="s">
        <v>65</v>
      </c>
      <c r="O129" s="43">
        <f>IF(N129="5",I129,0)</f>
        <v>0</v>
      </c>
      <c r="Z129" s="43">
        <f>IF(AD129=0,J129,0)</f>
        <v>0</v>
      </c>
      <c r="AA129" s="43">
        <f>IF(AD129=15,J129,0)</f>
        <v>0</v>
      </c>
      <c r="AB129" s="43">
        <f>IF(AD129=21,J129,0)</f>
        <v>0</v>
      </c>
      <c r="AD129" s="45">
        <v>21</v>
      </c>
      <c r="AE129" s="45">
        <f>G129*0</f>
        <v>0</v>
      </c>
      <c r="AF129" s="45">
        <f>G129*(1-0)</f>
        <v>0</v>
      </c>
    </row>
    <row r="130" spans="1:37" ht="12.75">
      <c r="A130" s="39"/>
      <c r="B130" s="40"/>
      <c r="C130" s="40" t="s">
        <v>331</v>
      </c>
      <c r="D130" s="40" t="s">
        <v>332</v>
      </c>
      <c r="E130" s="40"/>
      <c r="F130" s="40"/>
      <c r="G130" s="40"/>
      <c r="H130" s="41">
        <f>SUM(H131:H146)</f>
        <v>0</v>
      </c>
      <c r="I130" s="41">
        <f>SUM(I131:I146)</f>
        <v>0</v>
      </c>
      <c r="J130" s="41">
        <f>H130+I130</f>
        <v>0</v>
      </c>
      <c r="K130" s="34"/>
      <c r="L130" s="41">
        <f>SUM(L131:L146)</f>
        <v>1.9365085999999998</v>
      </c>
      <c r="M130" s="34"/>
      <c r="P130" s="41">
        <f>IF(Q130="PR",J130,SUM(O131:O146))</f>
        <v>0</v>
      </c>
      <c r="Q130" s="34" t="s">
        <v>126</v>
      </c>
      <c r="R130" s="41">
        <f>IF(Q130="HS",H130,0)</f>
        <v>0</v>
      </c>
      <c r="S130" s="41">
        <f>IF(Q130="HS",I130-P130,0)</f>
        <v>0</v>
      </c>
      <c r="T130" s="41">
        <f>IF(Q130="PS",H130,0)</f>
        <v>0</v>
      </c>
      <c r="U130" s="41">
        <f>IF(Q130="PS",I130-P130,0)</f>
        <v>0</v>
      </c>
      <c r="V130" s="41">
        <f>IF(Q130="MP",H130,0)</f>
        <v>0</v>
      </c>
      <c r="W130" s="41">
        <f>IF(Q130="MP",I130-P130,0)</f>
        <v>0</v>
      </c>
      <c r="X130" s="41">
        <f>IF(Q130="OM",H130,0)</f>
        <v>0</v>
      </c>
      <c r="Y130" s="34"/>
      <c r="AI130" s="41">
        <f>SUM(Z131:Z146)</f>
        <v>0</v>
      </c>
      <c r="AJ130" s="41">
        <f>SUM(AA131:AA146)</f>
        <v>0</v>
      </c>
      <c r="AK130" s="41">
        <f>SUM(AB131:AB146)</f>
        <v>0</v>
      </c>
    </row>
    <row r="131" spans="1:32" ht="12.75">
      <c r="A131" s="42" t="s">
        <v>333</v>
      </c>
      <c r="B131" s="42"/>
      <c r="C131" s="42" t="s">
        <v>334</v>
      </c>
      <c r="D131" s="42" t="s">
        <v>335</v>
      </c>
      <c r="E131" s="42" t="s">
        <v>51</v>
      </c>
      <c r="F131" s="43">
        <v>47.22</v>
      </c>
      <c r="H131" s="43">
        <f>ROUND(F131*AE131,2)</f>
        <v>0</v>
      </c>
      <c r="I131" s="43">
        <f>J131-H131</f>
        <v>0</v>
      </c>
      <c r="J131" s="43">
        <f>ROUND(F131*G131,2)</f>
        <v>0</v>
      </c>
      <c r="K131" s="43">
        <v>0.0119</v>
      </c>
      <c r="L131" s="43">
        <f>F131*K131</f>
        <v>0.561918</v>
      </c>
      <c r="M131" s="44" t="s">
        <v>52</v>
      </c>
      <c r="N131" s="44" t="s">
        <v>48</v>
      </c>
      <c r="O131" s="43">
        <f>IF(N131="5",I131,0)</f>
        <v>0</v>
      </c>
      <c r="Z131" s="43">
        <f>IF(AD131=0,J131,0)</f>
        <v>0</v>
      </c>
      <c r="AA131" s="43">
        <f>IF(AD131=15,J131,0)</f>
        <v>0</v>
      </c>
      <c r="AB131" s="43">
        <f>IF(AD131=21,J131,0)</f>
        <v>0</v>
      </c>
      <c r="AD131" s="45">
        <v>21</v>
      </c>
      <c r="AE131" s="45">
        <f>G131*0.37125748502994</f>
        <v>0</v>
      </c>
      <c r="AF131" s="45">
        <f>G131*(1-0.37125748502994)</f>
        <v>0</v>
      </c>
    </row>
    <row r="132" ht="12.75">
      <c r="D132" s="10" t="s">
        <v>336</v>
      </c>
    </row>
    <row r="133" spans="1:32" ht="12.75">
      <c r="A133" s="42" t="s">
        <v>337</v>
      </c>
      <c r="B133" s="42"/>
      <c r="C133" s="42" t="s">
        <v>338</v>
      </c>
      <c r="D133" s="42" t="s">
        <v>339</v>
      </c>
      <c r="E133" s="42" t="s">
        <v>51</v>
      </c>
      <c r="F133" s="43">
        <v>47.22</v>
      </c>
      <c r="H133" s="43">
        <f>ROUND(F133*AE133,2)</f>
        <v>0</v>
      </c>
      <c r="I133" s="43">
        <f>J133-H133</f>
        <v>0</v>
      </c>
      <c r="J133" s="43">
        <f>ROUND(F133*G133,2)</f>
        <v>0</v>
      </c>
      <c r="K133" s="43">
        <v>0.00021</v>
      </c>
      <c r="L133" s="43">
        <f>F133*K133</f>
        <v>0.0099162</v>
      </c>
      <c r="M133" s="44" t="s">
        <v>52</v>
      </c>
      <c r="N133" s="44" t="s">
        <v>48</v>
      </c>
      <c r="O133" s="43">
        <f>IF(N133="5",I133,0)</f>
        <v>0</v>
      </c>
      <c r="Z133" s="43">
        <f>IF(AD133=0,J133,0)</f>
        <v>0</v>
      </c>
      <c r="AA133" s="43">
        <f>IF(AD133=15,J133,0)</f>
        <v>0</v>
      </c>
      <c r="AB133" s="43">
        <f>IF(AD133=21,J133,0)</f>
        <v>0</v>
      </c>
      <c r="AD133" s="45">
        <v>21</v>
      </c>
      <c r="AE133" s="45">
        <f>G133*0.562912087912088</f>
        <v>0</v>
      </c>
      <c r="AF133" s="45">
        <f>G133*(1-0.562912087912088)</f>
        <v>0</v>
      </c>
    </row>
    <row r="134" ht="12.75">
      <c r="D134" s="10" t="s">
        <v>267</v>
      </c>
    </row>
    <row r="135" spans="1:32" ht="12.75">
      <c r="A135" s="42" t="s">
        <v>340</v>
      </c>
      <c r="B135" s="42"/>
      <c r="C135" s="42" t="s">
        <v>341</v>
      </c>
      <c r="D135" s="42" t="s">
        <v>342</v>
      </c>
      <c r="E135" s="42" t="s">
        <v>51</v>
      </c>
      <c r="F135" s="43">
        <v>47.22</v>
      </c>
      <c r="H135" s="43">
        <f>ROUND(F135*AE135,2)</f>
        <v>0</v>
      </c>
      <c r="I135" s="43">
        <f>J135-H135</f>
        <v>0</v>
      </c>
      <c r="J135" s="43">
        <f>ROUND(F135*G135,2)</f>
        <v>0</v>
      </c>
      <c r="K135" s="43">
        <v>0.00465</v>
      </c>
      <c r="L135" s="43">
        <f>F135*K135</f>
        <v>0.219573</v>
      </c>
      <c r="M135" s="44" t="s">
        <v>52</v>
      </c>
      <c r="N135" s="44" t="s">
        <v>48</v>
      </c>
      <c r="O135" s="43">
        <f>IF(N135="5",I135,0)</f>
        <v>0</v>
      </c>
      <c r="Z135" s="43">
        <f>IF(AD135=0,J135,0)</f>
        <v>0</v>
      </c>
      <c r="AA135" s="43">
        <f>IF(AD135=15,J135,0)</f>
        <v>0</v>
      </c>
      <c r="AB135" s="43">
        <f>IF(AD135=21,J135,0)</f>
        <v>0</v>
      </c>
      <c r="AD135" s="45">
        <v>21</v>
      </c>
      <c r="AE135" s="45">
        <f>G135*0.16743949044586</f>
        <v>0</v>
      </c>
      <c r="AF135" s="45">
        <f>G135*(1-0.16743949044586)</f>
        <v>0</v>
      </c>
    </row>
    <row r="136" spans="1:32" ht="12.75">
      <c r="A136" s="11" t="s">
        <v>343</v>
      </c>
      <c r="B136" s="11"/>
      <c r="C136" s="11" t="s">
        <v>344</v>
      </c>
      <c r="D136" s="11" t="s">
        <v>345</v>
      </c>
      <c r="E136" s="11" t="s">
        <v>51</v>
      </c>
      <c r="F136" s="45">
        <v>52.46</v>
      </c>
      <c r="H136" s="45">
        <f>ROUND(F136*AE136,2)</f>
        <v>0</v>
      </c>
      <c r="I136" s="45">
        <f>J136-H136</f>
        <v>0</v>
      </c>
      <c r="J136" s="45">
        <f>ROUND(F136*G136,2)</f>
        <v>0</v>
      </c>
      <c r="K136" s="45">
        <v>0.01943</v>
      </c>
      <c r="L136" s="45">
        <f>F136*K136</f>
        <v>1.0192978</v>
      </c>
      <c r="M136" s="46"/>
      <c r="N136" s="46" t="s">
        <v>60</v>
      </c>
      <c r="O136" s="45">
        <f>IF(N136="5",I136,0)</f>
        <v>0</v>
      </c>
      <c r="Z136" s="45">
        <f>IF(AD136=0,J136,0)</f>
        <v>0</v>
      </c>
      <c r="AA136" s="45">
        <f>IF(AD136=15,J136,0)</f>
        <v>0</v>
      </c>
      <c r="AB136" s="45">
        <f>IF(AD136=21,J136,0)</f>
        <v>0</v>
      </c>
      <c r="AD136" s="45">
        <v>21</v>
      </c>
      <c r="AE136" s="45">
        <f>G136*1</f>
        <v>0</v>
      </c>
      <c r="AF136" s="45">
        <f>G136*(1-1)</f>
        <v>0</v>
      </c>
    </row>
    <row r="137" spans="1:32" ht="12.75">
      <c r="A137" s="42" t="s">
        <v>346</v>
      </c>
      <c r="B137" s="42"/>
      <c r="C137" s="42" t="s">
        <v>275</v>
      </c>
      <c r="D137" s="42" t="s">
        <v>276</v>
      </c>
      <c r="E137" s="42" t="s">
        <v>51</v>
      </c>
      <c r="F137" s="43">
        <v>47.22</v>
      </c>
      <c r="H137" s="43">
        <f>ROUND(F137*AE137,2)</f>
        <v>0</v>
      </c>
      <c r="I137" s="43">
        <f>J137-H137</f>
        <v>0</v>
      </c>
      <c r="J137" s="43">
        <f>ROUND(F137*G137,2)</f>
        <v>0</v>
      </c>
      <c r="K137" s="43">
        <v>0.0009</v>
      </c>
      <c r="L137" s="43">
        <f>F137*K137</f>
        <v>0.042498</v>
      </c>
      <c r="M137" s="44" t="s">
        <v>52</v>
      </c>
      <c r="N137" s="44" t="s">
        <v>48</v>
      </c>
      <c r="O137" s="43">
        <f>IF(N137="5",I137,0)</f>
        <v>0</v>
      </c>
      <c r="Z137" s="43">
        <f>IF(AD137=0,J137,0)</f>
        <v>0</v>
      </c>
      <c r="AA137" s="43">
        <f>IF(AD137=15,J137,0)</f>
        <v>0</v>
      </c>
      <c r="AB137" s="43">
        <f>IF(AD137=21,J137,0)</f>
        <v>0</v>
      </c>
      <c r="AD137" s="45">
        <v>21</v>
      </c>
      <c r="AE137" s="45">
        <f>G137*1</f>
        <v>0</v>
      </c>
      <c r="AF137" s="45">
        <f>G137*(1-1)</f>
        <v>0</v>
      </c>
    </row>
    <row r="138" spans="1:32" ht="12.75">
      <c r="A138" s="11" t="s">
        <v>347</v>
      </c>
      <c r="B138" s="11"/>
      <c r="C138" s="11" t="s">
        <v>278</v>
      </c>
      <c r="D138" s="11" t="s">
        <v>279</v>
      </c>
      <c r="E138" s="11" t="s">
        <v>261</v>
      </c>
      <c r="F138" s="45">
        <v>26.31</v>
      </c>
      <c r="H138" s="45">
        <f>ROUND(F138*AE138,2)</f>
        <v>0</v>
      </c>
      <c r="I138" s="45">
        <f>J138-H138</f>
        <v>0</v>
      </c>
      <c r="J138" s="45">
        <f>ROUND(F138*G138,2)</f>
        <v>0</v>
      </c>
      <c r="K138" s="45">
        <v>0.001</v>
      </c>
      <c r="L138" s="45">
        <f>F138*K138</f>
        <v>0.02631</v>
      </c>
      <c r="M138" s="46" t="s">
        <v>52</v>
      </c>
      <c r="N138" s="46" t="s">
        <v>60</v>
      </c>
      <c r="O138" s="45">
        <f>IF(N138="5",I138,0)</f>
        <v>0</v>
      </c>
      <c r="Z138" s="45">
        <f>IF(AD138=0,J138,0)</f>
        <v>0</v>
      </c>
      <c r="AA138" s="45">
        <f>IF(AD138=15,J138,0)</f>
        <v>0</v>
      </c>
      <c r="AB138" s="45">
        <f>IF(AD138=21,J138,0)</f>
        <v>0</v>
      </c>
      <c r="AD138" s="45">
        <v>21</v>
      </c>
      <c r="AE138" s="45">
        <f>G138*1</f>
        <v>0</v>
      </c>
      <c r="AF138" s="45">
        <f>G138*(1-1)</f>
        <v>0</v>
      </c>
    </row>
    <row r="139" spans="1:32" ht="12.75">
      <c r="A139" s="42" t="s">
        <v>348</v>
      </c>
      <c r="B139" s="42"/>
      <c r="C139" s="42" t="s">
        <v>349</v>
      </c>
      <c r="D139" s="42" t="s">
        <v>350</v>
      </c>
      <c r="E139" s="42" t="s">
        <v>216</v>
      </c>
      <c r="F139" s="43">
        <v>14.66</v>
      </c>
      <c r="H139" s="43">
        <f>ROUND(F139*AE139,2)</f>
        <v>0</v>
      </c>
      <c r="I139" s="43">
        <f>J139-H139</f>
        <v>0</v>
      </c>
      <c r="J139" s="43">
        <f>ROUND(F139*G139,2)</f>
        <v>0</v>
      </c>
      <c r="K139" s="43">
        <v>0</v>
      </c>
      <c r="L139" s="43">
        <f>F139*K139</f>
        <v>0</v>
      </c>
      <c r="M139" s="44" t="s">
        <v>52</v>
      </c>
      <c r="N139" s="44" t="s">
        <v>48</v>
      </c>
      <c r="O139" s="43">
        <f>IF(N139="5",I139,0)</f>
        <v>0</v>
      </c>
      <c r="Z139" s="43">
        <f>IF(AD139=0,J139,0)</f>
        <v>0</v>
      </c>
      <c r="AA139" s="43">
        <f>IF(AD139=15,J139,0)</f>
        <v>0</v>
      </c>
      <c r="AB139" s="43">
        <f>IF(AD139=21,J139,0)</f>
        <v>0</v>
      </c>
      <c r="AD139" s="45">
        <v>21</v>
      </c>
      <c r="AE139" s="45">
        <f>G139*0</f>
        <v>0</v>
      </c>
      <c r="AF139" s="45">
        <f>G139*(1-0)</f>
        <v>0</v>
      </c>
    </row>
    <row r="140" ht="12.75">
      <c r="D140" s="10" t="s">
        <v>351</v>
      </c>
    </row>
    <row r="141" spans="1:32" ht="12.75">
      <c r="A141" s="42" t="s">
        <v>352</v>
      </c>
      <c r="B141" s="42"/>
      <c r="C141" s="42" t="s">
        <v>353</v>
      </c>
      <c r="D141" s="42" t="s">
        <v>354</v>
      </c>
      <c r="E141" s="42" t="s">
        <v>216</v>
      </c>
      <c r="F141" s="43">
        <v>18.9</v>
      </c>
      <c r="H141" s="43">
        <f>ROUND(F141*AE141,2)</f>
        <v>0</v>
      </c>
      <c r="I141" s="43">
        <f>J141-H141</f>
        <v>0</v>
      </c>
      <c r="J141" s="43">
        <f>ROUND(F141*G141,2)</f>
        <v>0</v>
      </c>
      <c r="K141" s="43">
        <v>0.0001</v>
      </c>
      <c r="L141" s="43">
        <f>F141*K141</f>
        <v>0.00189</v>
      </c>
      <c r="M141" s="44" t="s">
        <v>52</v>
      </c>
      <c r="N141" s="44" t="s">
        <v>48</v>
      </c>
      <c r="O141" s="43">
        <f>IF(N141="5",I141,0)</f>
        <v>0</v>
      </c>
      <c r="Z141" s="43">
        <f>IF(AD141=0,J141,0)</f>
        <v>0</v>
      </c>
      <c r="AA141" s="43">
        <f>IF(AD141=15,J141,0)</f>
        <v>0</v>
      </c>
      <c r="AB141" s="43">
        <f>IF(AD141=21,J141,0)</f>
        <v>0</v>
      </c>
      <c r="AD141" s="45">
        <v>21</v>
      </c>
      <c r="AE141" s="45">
        <f>G141*0.854274809160305</f>
        <v>0</v>
      </c>
      <c r="AF141" s="45">
        <f>G141*(1-0.854274809160305)</f>
        <v>0</v>
      </c>
    </row>
    <row r="142" ht="12.75">
      <c r="D142" s="10" t="s">
        <v>355</v>
      </c>
    </row>
    <row r="143" spans="1:32" ht="12.75">
      <c r="A143" s="11" t="s">
        <v>356</v>
      </c>
      <c r="B143" s="11"/>
      <c r="C143" s="11" t="s">
        <v>357</v>
      </c>
      <c r="D143" s="11" t="s">
        <v>358</v>
      </c>
      <c r="E143" s="11" t="s">
        <v>51</v>
      </c>
      <c r="F143" s="45">
        <v>2.02</v>
      </c>
      <c r="H143" s="45">
        <f>ROUND(F143*AE143,2)</f>
        <v>0</v>
      </c>
      <c r="I143" s="45">
        <f>J143-H143</f>
        <v>0</v>
      </c>
      <c r="J143" s="45">
        <f>ROUND(F143*G143,2)</f>
        <v>0</v>
      </c>
      <c r="K143" s="45">
        <v>0.012</v>
      </c>
      <c r="L143" s="45">
        <f>F143*K143</f>
        <v>0.02424</v>
      </c>
      <c r="M143" s="46" t="s">
        <v>52</v>
      </c>
      <c r="N143" s="46" t="s">
        <v>60</v>
      </c>
      <c r="O143" s="45">
        <f>IF(N143="5",I143,0)</f>
        <v>0</v>
      </c>
      <c r="Z143" s="45">
        <f>IF(AD143=0,J143,0)</f>
        <v>0</v>
      </c>
      <c r="AA143" s="45">
        <f>IF(AD143=15,J143,0)</f>
        <v>0</v>
      </c>
      <c r="AB143" s="45">
        <f>IF(AD143=21,J143,0)</f>
        <v>0</v>
      </c>
      <c r="AD143" s="45">
        <v>21</v>
      </c>
      <c r="AE143" s="45">
        <f>G143*1</f>
        <v>0</v>
      </c>
      <c r="AF143" s="45">
        <f>G143*(1-1)</f>
        <v>0</v>
      </c>
    </row>
    <row r="144" spans="1:32" ht="12.75">
      <c r="A144" s="42" t="s">
        <v>359</v>
      </c>
      <c r="B144" s="42"/>
      <c r="C144" s="42" t="s">
        <v>360</v>
      </c>
      <c r="D144" s="42" t="s">
        <v>361</v>
      </c>
      <c r="E144" s="42" t="s">
        <v>51</v>
      </c>
      <c r="F144" s="43">
        <v>2.02</v>
      </c>
      <c r="H144" s="43">
        <f>ROUND(F144*AE144,2)</f>
        <v>0</v>
      </c>
      <c r="I144" s="43">
        <f>J144-H144</f>
        <v>0</v>
      </c>
      <c r="J144" s="43">
        <f>ROUND(F144*G144,2)</f>
        <v>0</v>
      </c>
      <c r="K144" s="43">
        <v>0.01528</v>
      </c>
      <c r="L144" s="43">
        <f>F144*K144</f>
        <v>0.0308656</v>
      </c>
      <c r="M144" s="44" t="s">
        <v>52</v>
      </c>
      <c r="N144" s="44" t="s">
        <v>48</v>
      </c>
      <c r="O144" s="43">
        <f>IF(N144="5",I144,0)</f>
        <v>0</v>
      </c>
      <c r="Z144" s="43">
        <f>IF(AD144=0,J144,0)</f>
        <v>0</v>
      </c>
      <c r="AA144" s="43">
        <f>IF(AD144=15,J144,0)</f>
        <v>0</v>
      </c>
      <c r="AB144" s="43">
        <f>IF(AD144=21,J144,0)</f>
        <v>0</v>
      </c>
      <c r="AD144" s="45">
        <v>21</v>
      </c>
      <c r="AE144" s="45">
        <f>G144*0.0675299912608247</f>
        <v>0</v>
      </c>
      <c r="AF144" s="45">
        <f>G144*(1-0.0675299912608247)</f>
        <v>0</v>
      </c>
    </row>
    <row r="145" ht="12.75">
      <c r="D145" s="10" t="s">
        <v>362</v>
      </c>
    </row>
    <row r="146" spans="1:32" ht="12.75">
      <c r="A146" s="42" t="s">
        <v>363</v>
      </c>
      <c r="B146" s="42"/>
      <c r="C146" s="42" t="s">
        <v>364</v>
      </c>
      <c r="D146" s="42" t="s">
        <v>365</v>
      </c>
      <c r="E146" s="42" t="s">
        <v>64</v>
      </c>
      <c r="F146" s="43">
        <v>1.93651</v>
      </c>
      <c r="H146" s="43">
        <f>ROUND(F146*AE146,2)</f>
        <v>0</v>
      </c>
      <c r="I146" s="43">
        <f>J146-H146</f>
        <v>0</v>
      </c>
      <c r="J146" s="43">
        <f>ROUND(F146*G146,2)</f>
        <v>0</v>
      </c>
      <c r="K146" s="43">
        <v>0</v>
      </c>
      <c r="L146" s="43">
        <f>F146*K146</f>
        <v>0</v>
      </c>
      <c r="M146" s="44" t="s">
        <v>52</v>
      </c>
      <c r="N146" s="44" t="s">
        <v>65</v>
      </c>
      <c r="O146" s="43">
        <f>IF(N146="5",I146,0)</f>
        <v>0</v>
      </c>
      <c r="Z146" s="43">
        <f>IF(AD146=0,J146,0)</f>
        <v>0</v>
      </c>
      <c r="AA146" s="43">
        <f>IF(AD146=15,J146,0)</f>
        <v>0</v>
      </c>
      <c r="AB146" s="43">
        <f>IF(AD146=21,J146,0)</f>
        <v>0</v>
      </c>
      <c r="AD146" s="45">
        <v>21</v>
      </c>
      <c r="AE146" s="45">
        <f>G146*0</f>
        <v>0</v>
      </c>
      <c r="AF146" s="45">
        <f>G146*(1-0)</f>
        <v>0</v>
      </c>
    </row>
    <row r="147" spans="1:37" ht="12.75">
      <c r="A147" s="39"/>
      <c r="B147" s="40"/>
      <c r="C147" s="40" t="s">
        <v>366</v>
      </c>
      <c r="D147" s="40" t="s">
        <v>367</v>
      </c>
      <c r="E147" s="40"/>
      <c r="F147" s="40"/>
      <c r="G147" s="40"/>
      <c r="H147" s="41">
        <f>SUM(H148:H151)</f>
        <v>0</v>
      </c>
      <c r="I147" s="41">
        <f>SUM(I148:I151)</f>
        <v>0</v>
      </c>
      <c r="J147" s="41">
        <f>H147+I147</f>
        <v>0</v>
      </c>
      <c r="K147" s="34"/>
      <c r="L147" s="41">
        <f>SUM(L148:L151)</f>
        <v>0.04805570000000001</v>
      </c>
      <c r="M147" s="34"/>
      <c r="P147" s="41">
        <f>IF(Q147="PR",J147,SUM(O148:O151))</f>
        <v>0</v>
      </c>
      <c r="Q147" s="34" t="s">
        <v>126</v>
      </c>
      <c r="R147" s="41">
        <f>IF(Q147="HS",H147,0)</f>
        <v>0</v>
      </c>
      <c r="S147" s="41">
        <f>IF(Q147="HS",I147-P147,0)</f>
        <v>0</v>
      </c>
      <c r="T147" s="41">
        <f>IF(Q147="PS",H147,0)</f>
        <v>0</v>
      </c>
      <c r="U147" s="41">
        <f>IF(Q147="PS",I147-P147,0)</f>
        <v>0</v>
      </c>
      <c r="V147" s="41">
        <f>IF(Q147="MP",H147,0)</f>
        <v>0</v>
      </c>
      <c r="W147" s="41">
        <f>IF(Q147="MP",I147-P147,0)</f>
        <v>0</v>
      </c>
      <c r="X147" s="41">
        <f>IF(Q147="OM",H147,0)</f>
        <v>0</v>
      </c>
      <c r="Y147" s="34"/>
      <c r="AI147" s="41">
        <f>SUM(Z148:Z151)</f>
        <v>0</v>
      </c>
      <c r="AJ147" s="41">
        <f>SUM(AA148:AA151)</f>
        <v>0</v>
      </c>
      <c r="AK147" s="41">
        <f>SUM(AB148:AB151)</f>
        <v>0</v>
      </c>
    </row>
    <row r="148" spans="1:32" ht="12.75">
      <c r="A148" s="42" t="s">
        <v>368</v>
      </c>
      <c r="B148" s="42"/>
      <c r="C148" s="42" t="s">
        <v>369</v>
      </c>
      <c r="D148" s="42" t="s">
        <v>370</v>
      </c>
      <c r="E148" s="42" t="s">
        <v>51</v>
      </c>
      <c r="F148" s="43">
        <v>65.78</v>
      </c>
      <c r="H148" s="43">
        <f>ROUND(F148*AE148,2)</f>
        <v>0</v>
      </c>
      <c r="I148" s="43">
        <f>J148-H148</f>
        <v>0</v>
      </c>
      <c r="J148" s="43">
        <f>ROUND(F148*G148,2)</f>
        <v>0</v>
      </c>
      <c r="K148" s="43">
        <v>6E-05</v>
      </c>
      <c r="L148" s="43">
        <f>F148*K148</f>
        <v>0.0039468</v>
      </c>
      <c r="M148" s="44" t="s">
        <v>52</v>
      </c>
      <c r="N148" s="44" t="s">
        <v>48</v>
      </c>
      <c r="O148" s="43">
        <f>IF(N148="5",I148,0)</f>
        <v>0</v>
      </c>
      <c r="Z148" s="43">
        <f>IF(AD148=0,J148,0)</f>
        <v>0</v>
      </c>
      <c r="AA148" s="43">
        <f>IF(AD148=15,J148,0)</f>
        <v>0</v>
      </c>
      <c r="AB148" s="43">
        <f>IF(AD148=21,J148,0)</f>
        <v>0</v>
      </c>
      <c r="AD148" s="45">
        <v>21</v>
      </c>
      <c r="AE148" s="45">
        <f>G148*0.0670542635658915</f>
        <v>0</v>
      </c>
      <c r="AF148" s="45">
        <f>G148*(1-0.0670542635658915)</f>
        <v>0</v>
      </c>
    </row>
    <row r="149" ht="12.75">
      <c r="D149" s="10" t="s">
        <v>371</v>
      </c>
    </row>
    <row r="150" spans="1:32" ht="12.75">
      <c r="A150" s="42" t="s">
        <v>372</v>
      </c>
      <c r="B150" s="42"/>
      <c r="C150" s="42" t="s">
        <v>373</v>
      </c>
      <c r="D150" s="42" t="s">
        <v>374</v>
      </c>
      <c r="E150" s="42" t="s">
        <v>51</v>
      </c>
      <c r="F150" s="43">
        <v>65.78</v>
      </c>
      <c r="H150" s="43">
        <f>ROUND(F150*AE150,2)</f>
        <v>0</v>
      </c>
      <c r="I150" s="43">
        <f>J150-H150</f>
        <v>0</v>
      </c>
      <c r="J150" s="43">
        <f>ROUND(F150*G150,2)</f>
        <v>0</v>
      </c>
      <c r="K150" s="43">
        <v>0.00034</v>
      </c>
      <c r="L150" s="43">
        <f>F150*K150</f>
        <v>0.022365200000000002</v>
      </c>
      <c r="M150" s="44" t="s">
        <v>52</v>
      </c>
      <c r="N150" s="44" t="s">
        <v>48</v>
      </c>
      <c r="O150" s="43">
        <f>IF(N150="5",I150,0)</f>
        <v>0</v>
      </c>
      <c r="Z150" s="43">
        <f>IF(AD150=0,J150,0)</f>
        <v>0</v>
      </c>
      <c r="AA150" s="43">
        <f>IF(AD150=15,J150,0)</f>
        <v>0</v>
      </c>
      <c r="AB150" s="43">
        <f>IF(AD150=21,J150,0)</f>
        <v>0</v>
      </c>
      <c r="AD150" s="45">
        <v>21</v>
      </c>
      <c r="AE150" s="45">
        <f>G150*0.233543307086614</f>
        <v>0</v>
      </c>
      <c r="AF150" s="45">
        <f>G150*(1-0.233543307086614)</f>
        <v>0</v>
      </c>
    </row>
    <row r="151" spans="1:32" ht="12.75">
      <c r="A151" s="42" t="s">
        <v>375</v>
      </c>
      <c r="B151" s="42"/>
      <c r="C151" s="42" t="s">
        <v>376</v>
      </c>
      <c r="D151" s="42" t="s">
        <v>377</v>
      </c>
      <c r="E151" s="42" t="s">
        <v>51</v>
      </c>
      <c r="F151" s="43">
        <v>65.89</v>
      </c>
      <c r="H151" s="43">
        <f>ROUND(F151*AE151,2)</f>
        <v>0</v>
      </c>
      <c r="I151" s="43">
        <f>J151-H151</f>
        <v>0</v>
      </c>
      <c r="J151" s="43">
        <f>ROUND(F151*G151,2)</f>
        <v>0</v>
      </c>
      <c r="K151" s="43">
        <v>0.00033</v>
      </c>
      <c r="L151" s="43">
        <f>F151*K151</f>
        <v>0.0217437</v>
      </c>
      <c r="M151" s="44" t="s">
        <v>52</v>
      </c>
      <c r="N151" s="44" t="s">
        <v>48</v>
      </c>
      <c r="O151" s="43">
        <f>IF(N151="5",I151,0)</f>
        <v>0</v>
      </c>
      <c r="Z151" s="43">
        <f>IF(AD151=0,J151,0)</f>
        <v>0</v>
      </c>
      <c r="AA151" s="43">
        <f>IF(AD151=15,J151,0)</f>
        <v>0</v>
      </c>
      <c r="AB151" s="43">
        <f>IF(AD151=21,J151,0)</f>
        <v>0</v>
      </c>
      <c r="AD151" s="45">
        <v>21</v>
      </c>
      <c r="AE151" s="45">
        <f>G151*0.158067885117493</f>
        <v>0</v>
      </c>
      <c r="AF151" s="45">
        <f>G151*(1-0.158067885117493)</f>
        <v>0</v>
      </c>
    </row>
    <row r="152" ht="12.75">
      <c r="D152" s="10" t="s">
        <v>378</v>
      </c>
    </row>
    <row r="153" spans="1:37" ht="12.75">
      <c r="A153" s="39"/>
      <c r="B153" s="40"/>
      <c r="C153" s="40" t="s">
        <v>379</v>
      </c>
      <c r="D153" s="40" t="s">
        <v>380</v>
      </c>
      <c r="E153" s="40"/>
      <c r="F153" s="40"/>
      <c r="G153" s="40"/>
      <c r="H153" s="41">
        <f>SUM(H154:H154)</f>
        <v>0</v>
      </c>
      <c r="I153" s="41">
        <f>SUM(I154:I154)</f>
        <v>0</v>
      </c>
      <c r="J153" s="41">
        <f>H153+I153</f>
        <v>0</v>
      </c>
      <c r="K153" s="34"/>
      <c r="L153" s="41">
        <f>SUM(L154:L154)</f>
        <v>0.5299434</v>
      </c>
      <c r="M153" s="34"/>
      <c r="P153" s="41">
        <f>IF(Q153="PR",J153,SUM(O154:O154))</f>
        <v>0</v>
      </c>
      <c r="Q153" s="34" t="s">
        <v>126</v>
      </c>
      <c r="R153" s="41">
        <f>IF(Q153="HS",H153,0)</f>
        <v>0</v>
      </c>
      <c r="S153" s="41">
        <f>IF(Q153="HS",I153-P153,0)</f>
        <v>0</v>
      </c>
      <c r="T153" s="41">
        <f>IF(Q153="PS",H153,0)</f>
        <v>0</v>
      </c>
      <c r="U153" s="41">
        <f>IF(Q153="PS",I153-P153,0)</f>
        <v>0</v>
      </c>
      <c r="V153" s="41">
        <f>IF(Q153="MP",H153,0)</f>
        <v>0</v>
      </c>
      <c r="W153" s="41">
        <f>IF(Q153="MP",I153-P153,0)</f>
        <v>0</v>
      </c>
      <c r="X153" s="41">
        <f>IF(Q153="OM",H153,0)</f>
        <v>0</v>
      </c>
      <c r="Y153" s="34"/>
      <c r="AI153" s="41">
        <f>SUM(Z154:Z154)</f>
        <v>0</v>
      </c>
      <c r="AJ153" s="41">
        <f>SUM(AA154:AA154)</f>
        <v>0</v>
      </c>
      <c r="AK153" s="41">
        <f>SUM(AB154:AB154)</f>
        <v>0</v>
      </c>
    </row>
    <row r="154" spans="1:32" ht="12.75">
      <c r="A154" s="42" t="s">
        <v>381</v>
      </c>
      <c r="B154" s="42"/>
      <c r="C154" s="42" t="s">
        <v>382</v>
      </c>
      <c r="D154" s="42" t="s">
        <v>383</v>
      </c>
      <c r="E154" s="42" t="s">
        <v>51</v>
      </c>
      <c r="F154" s="43">
        <v>841.18</v>
      </c>
      <c r="H154" s="43">
        <f>ROUND(F154*AE154,2)</f>
        <v>0</v>
      </c>
      <c r="I154" s="43">
        <f>J154-H154</f>
        <v>0</v>
      </c>
      <c r="J154" s="43">
        <f>ROUND(F154*G154,2)</f>
        <v>0</v>
      </c>
      <c r="K154" s="43">
        <v>0.00063</v>
      </c>
      <c r="L154" s="43">
        <f>F154*K154</f>
        <v>0.5299434</v>
      </c>
      <c r="M154" s="44" t="s">
        <v>52</v>
      </c>
      <c r="N154" s="44" t="s">
        <v>56</v>
      </c>
      <c r="O154" s="43">
        <f>IF(N154="5",I154,0)</f>
        <v>0</v>
      </c>
      <c r="Z154" s="43">
        <f>IF(AD154=0,J154,0)</f>
        <v>0</v>
      </c>
      <c r="AA154" s="43">
        <f>IF(AD154=15,J154,0)</f>
        <v>0</v>
      </c>
      <c r="AB154" s="43">
        <f>IF(AD154=21,J154,0)</f>
        <v>0</v>
      </c>
      <c r="AD154" s="45">
        <v>21</v>
      </c>
      <c r="AE154" s="45">
        <f>G154*0.323411371237458</f>
        <v>0</v>
      </c>
      <c r="AF154" s="45">
        <f>G154*(1-0.323411371237458)</f>
        <v>0</v>
      </c>
    </row>
    <row r="155" spans="1:37" ht="12.75">
      <c r="A155" s="39"/>
      <c r="B155" s="40"/>
      <c r="C155" s="40" t="s">
        <v>363</v>
      </c>
      <c r="D155" s="40" t="s">
        <v>384</v>
      </c>
      <c r="E155" s="40"/>
      <c r="F155" s="40"/>
      <c r="G155" s="40"/>
      <c r="H155" s="41">
        <f>SUM(H156:H173)</f>
        <v>0</v>
      </c>
      <c r="I155" s="41">
        <f>SUM(I156:I173)</f>
        <v>0</v>
      </c>
      <c r="J155" s="41">
        <f>H155+I155</f>
        <v>0</v>
      </c>
      <c r="K155" s="34"/>
      <c r="L155" s="41">
        <f>SUM(L156:L173)</f>
        <v>14.008189999999997</v>
      </c>
      <c r="M155" s="34"/>
      <c r="P155" s="41">
        <f>IF(Q155="PR",J155,SUM(O156:O173))</f>
        <v>0</v>
      </c>
      <c r="Q155" s="34" t="s">
        <v>47</v>
      </c>
      <c r="R155" s="41">
        <f>IF(Q155="HS",H155,0)</f>
        <v>0</v>
      </c>
      <c r="S155" s="41">
        <f>IF(Q155="HS",I155-P155,0)</f>
        <v>0</v>
      </c>
      <c r="T155" s="41">
        <f>IF(Q155="PS",H155,0)</f>
        <v>0</v>
      </c>
      <c r="U155" s="41">
        <f>IF(Q155="PS",I155-P155,0)</f>
        <v>0</v>
      </c>
      <c r="V155" s="41">
        <f>IF(Q155="MP",H155,0)</f>
        <v>0</v>
      </c>
      <c r="W155" s="41">
        <f>IF(Q155="MP",I155-P155,0)</f>
        <v>0</v>
      </c>
      <c r="X155" s="41">
        <f>IF(Q155="OM",H155,0)</f>
        <v>0</v>
      </c>
      <c r="Y155" s="34"/>
      <c r="AI155" s="41">
        <f>SUM(Z156:Z173)</f>
        <v>0</v>
      </c>
      <c r="AJ155" s="41">
        <f>SUM(AA156:AA173)</f>
        <v>0</v>
      </c>
      <c r="AK155" s="41">
        <f>SUM(AB156:AB173)</f>
        <v>0</v>
      </c>
    </row>
    <row r="156" spans="1:32" ht="12.75">
      <c r="A156" s="42" t="s">
        <v>385</v>
      </c>
      <c r="B156" s="42"/>
      <c r="C156" s="42" t="s">
        <v>386</v>
      </c>
      <c r="D156" s="42" t="s">
        <v>387</v>
      </c>
      <c r="E156" s="42" t="s">
        <v>51</v>
      </c>
      <c r="F156" s="43">
        <v>22.87</v>
      </c>
      <c r="H156" s="43">
        <f>ROUND(F156*AE156,2)</f>
        <v>0</v>
      </c>
      <c r="I156" s="43">
        <f>J156-H156</f>
        <v>0</v>
      </c>
      <c r="J156" s="43">
        <f>ROUND(F156*G156,2)</f>
        <v>0</v>
      </c>
      <c r="K156" s="43">
        <v>0.131</v>
      </c>
      <c r="L156" s="43">
        <f>F156*K156</f>
        <v>2.9959700000000002</v>
      </c>
      <c r="M156" s="44" t="s">
        <v>52</v>
      </c>
      <c r="N156" s="44" t="s">
        <v>48</v>
      </c>
      <c r="O156" s="43">
        <f>IF(N156="5",I156,0)</f>
        <v>0</v>
      </c>
      <c r="Z156" s="43">
        <f>IF(AD156=0,J156,0)</f>
        <v>0</v>
      </c>
      <c r="AA156" s="43">
        <f>IF(AD156=15,J156,0)</f>
        <v>0</v>
      </c>
      <c r="AB156" s="43">
        <f>IF(AD156=21,J156,0)</f>
        <v>0</v>
      </c>
      <c r="AD156" s="45">
        <v>21</v>
      </c>
      <c r="AE156" s="45">
        <f>G156*0.184493284493284</f>
        <v>0</v>
      </c>
      <c r="AF156" s="45">
        <f>G156*(1-0.184493284493284)</f>
        <v>0</v>
      </c>
    </row>
    <row r="157" spans="1:32" ht="12.75">
      <c r="A157" s="42" t="s">
        <v>388</v>
      </c>
      <c r="B157" s="42"/>
      <c r="C157" s="42" t="s">
        <v>389</v>
      </c>
      <c r="D157" s="42" t="s">
        <v>390</v>
      </c>
      <c r="E157" s="42" t="s">
        <v>51</v>
      </c>
      <c r="F157" s="43">
        <v>19.29</v>
      </c>
      <c r="H157" s="43">
        <f>ROUND(F157*AE157,2)</f>
        <v>0</v>
      </c>
      <c r="I157" s="43">
        <f>J157-H157</f>
        <v>0</v>
      </c>
      <c r="J157" s="43">
        <f>ROUND(F157*G157,2)</f>
        <v>0</v>
      </c>
      <c r="K157" s="43">
        <v>0.261</v>
      </c>
      <c r="L157" s="43">
        <f>F157*K157</f>
        <v>5.03469</v>
      </c>
      <c r="M157" s="44" t="s">
        <v>52</v>
      </c>
      <c r="N157" s="44" t="s">
        <v>48</v>
      </c>
      <c r="O157" s="43">
        <f>IF(N157="5",I157,0)</f>
        <v>0</v>
      </c>
      <c r="Z157" s="43">
        <f>IF(AD157=0,J157,0)</f>
        <v>0</v>
      </c>
      <c r="AA157" s="43">
        <f>IF(AD157=15,J157,0)</f>
        <v>0</v>
      </c>
      <c r="AB157" s="43">
        <f>IF(AD157=21,J157,0)</f>
        <v>0</v>
      </c>
      <c r="AD157" s="45">
        <v>21</v>
      </c>
      <c r="AE157" s="45">
        <f>G157*0.151859296482412</f>
        <v>0</v>
      </c>
      <c r="AF157" s="45">
        <f>G157*(1-0.151859296482412)</f>
        <v>0</v>
      </c>
    </row>
    <row r="158" spans="1:32" ht="12.75">
      <c r="A158" s="42" t="s">
        <v>391</v>
      </c>
      <c r="B158" s="42"/>
      <c r="C158" s="42" t="s">
        <v>392</v>
      </c>
      <c r="D158" s="42" t="s">
        <v>393</v>
      </c>
      <c r="E158" s="42" t="s">
        <v>394</v>
      </c>
      <c r="F158" s="43">
        <v>2.25</v>
      </c>
      <c r="H158" s="43">
        <f>ROUND(F158*AE158,2)</f>
        <v>0</v>
      </c>
      <c r="I158" s="43">
        <f>J158-H158</f>
        <v>0</v>
      </c>
      <c r="J158" s="43">
        <f>ROUND(F158*G158,2)</f>
        <v>0</v>
      </c>
      <c r="K158" s="43">
        <v>1.8</v>
      </c>
      <c r="L158" s="43">
        <f>F158*K158</f>
        <v>4.05</v>
      </c>
      <c r="M158" s="44" t="s">
        <v>52</v>
      </c>
      <c r="N158" s="44" t="s">
        <v>48</v>
      </c>
      <c r="O158" s="43">
        <f>IF(N158="5",I158,0)</f>
        <v>0</v>
      </c>
      <c r="Z158" s="43">
        <f>IF(AD158=0,J158,0)</f>
        <v>0</v>
      </c>
      <c r="AA158" s="43">
        <f>IF(AD158=15,J158,0)</f>
        <v>0</v>
      </c>
      <c r="AB158" s="43">
        <f>IF(AD158=21,J158,0)</f>
        <v>0</v>
      </c>
      <c r="AD158" s="45">
        <v>21</v>
      </c>
      <c r="AE158" s="45">
        <f>G158*0.0494880546075085</f>
        <v>0</v>
      </c>
      <c r="AF158" s="45">
        <f>G158*(1-0.0494880546075085)</f>
        <v>0</v>
      </c>
    </row>
    <row r="159" spans="1:32" ht="12.75">
      <c r="A159" s="42" t="s">
        <v>395</v>
      </c>
      <c r="B159" s="42"/>
      <c r="C159" s="42" t="s">
        <v>396</v>
      </c>
      <c r="D159" s="42" t="s">
        <v>397</v>
      </c>
      <c r="E159" s="42" t="s">
        <v>51</v>
      </c>
      <c r="F159" s="43">
        <v>3.14</v>
      </c>
      <c r="H159" s="43">
        <f>ROUND(F159*AE159,2)</f>
        <v>0</v>
      </c>
      <c r="I159" s="43">
        <f>J159-H159</f>
        <v>0</v>
      </c>
      <c r="J159" s="43">
        <f>ROUND(F159*G159,2)</f>
        <v>0</v>
      </c>
      <c r="K159" s="43">
        <v>0.082</v>
      </c>
      <c r="L159" s="43">
        <f>F159*K159</f>
        <v>0.25748000000000004</v>
      </c>
      <c r="M159" s="44" t="s">
        <v>52</v>
      </c>
      <c r="N159" s="44" t="s">
        <v>48</v>
      </c>
      <c r="O159" s="43">
        <f>IF(N159="5",I159,0)</f>
        <v>0</v>
      </c>
      <c r="Z159" s="43">
        <f>IF(AD159=0,J159,0)</f>
        <v>0</v>
      </c>
      <c r="AA159" s="43">
        <f>IF(AD159=15,J159,0)</f>
        <v>0</v>
      </c>
      <c r="AB159" s="43">
        <f>IF(AD159=21,J159,0)</f>
        <v>0</v>
      </c>
      <c r="AD159" s="45">
        <v>21</v>
      </c>
      <c r="AE159" s="45">
        <f>G159*0.0956329113924051</f>
        <v>0</v>
      </c>
      <c r="AF159" s="45">
        <f>G159*(1-0.0956329113924051)</f>
        <v>0</v>
      </c>
    </row>
    <row r="160" spans="1:32" ht="12.75">
      <c r="A160" s="42" t="s">
        <v>398</v>
      </c>
      <c r="B160" s="42"/>
      <c r="C160" s="42" t="s">
        <v>195</v>
      </c>
      <c r="D160" s="42" t="s">
        <v>196</v>
      </c>
      <c r="E160" s="42" t="s">
        <v>64</v>
      </c>
      <c r="F160" s="43">
        <v>12.33814</v>
      </c>
      <c r="H160" s="43">
        <f>ROUND(F160*AE160,2)</f>
        <v>0</v>
      </c>
      <c r="I160" s="43">
        <f>J160-H160</f>
        <v>0</v>
      </c>
      <c r="J160" s="43">
        <f>ROUND(F160*G160,2)</f>
        <v>0</v>
      </c>
      <c r="K160" s="43">
        <v>0</v>
      </c>
      <c r="L160" s="43">
        <f>F160*K160</f>
        <v>0</v>
      </c>
      <c r="M160" s="44" t="s">
        <v>52</v>
      </c>
      <c r="N160" s="44" t="s">
        <v>65</v>
      </c>
      <c r="O160" s="43">
        <f>IF(N160="5",I160,0)</f>
        <v>0</v>
      </c>
      <c r="Z160" s="43">
        <f>IF(AD160=0,J160,0)</f>
        <v>0</v>
      </c>
      <c r="AA160" s="43">
        <f>IF(AD160=15,J160,0)</f>
        <v>0</v>
      </c>
      <c r="AB160" s="43">
        <f>IF(AD160=21,J160,0)</f>
        <v>0</v>
      </c>
      <c r="AD160" s="45">
        <v>21</v>
      </c>
      <c r="AE160" s="45">
        <f>G160*0</f>
        <v>0</v>
      </c>
      <c r="AF160" s="45">
        <f>G160*(1-0)</f>
        <v>0</v>
      </c>
    </row>
    <row r="161" spans="1:32" ht="12.75">
      <c r="A161" s="42" t="s">
        <v>399</v>
      </c>
      <c r="B161" s="42"/>
      <c r="C161" s="42" t="s">
        <v>400</v>
      </c>
      <c r="D161" s="42" t="s">
        <v>401</v>
      </c>
      <c r="E161" s="42" t="s">
        <v>100</v>
      </c>
      <c r="F161" s="43">
        <v>14</v>
      </c>
      <c r="H161" s="43">
        <f>ROUND(F161*AE161,2)</f>
        <v>0</v>
      </c>
      <c r="I161" s="43">
        <f>J161-H161</f>
        <v>0</v>
      </c>
      <c r="J161" s="43">
        <f>ROUND(F161*G161,2)</f>
        <v>0</v>
      </c>
      <c r="K161" s="43">
        <v>0</v>
      </c>
      <c r="L161" s="43">
        <f>F161*K161</f>
        <v>0</v>
      </c>
      <c r="M161" s="44" t="s">
        <v>52</v>
      </c>
      <c r="N161" s="44" t="s">
        <v>48</v>
      </c>
      <c r="O161" s="43">
        <f>IF(N161="5",I161,0)</f>
        <v>0</v>
      </c>
      <c r="Z161" s="43">
        <f>IF(AD161=0,J161,0)</f>
        <v>0</v>
      </c>
      <c r="AA161" s="43">
        <f>IF(AD161=15,J161,0)</f>
        <v>0</v>
      </c>
      <c r="AB161" s="43">
        <f>IF(AD161=21,J161,0)</f>
        <v>0</v>
      </c>
      <c r="AD161" s="45">
        <v>21</v>
      </c>
      <c r="AE161" s="45">
        <f>G161*0</f>
        <v>0</v>
      </c>
      <c r="AF161" s="45">
        <f>G161*(1-0)</f>
        <v>0</v>
      </c>
    </row>
    <row r="162" spans="1:32" ht="12.75">
      <c r="A162" s="42" t="s">
        <v>402</v>
      </c>
      <c r="B162" s="42"/>
      <c r="C162" s="42" t="s">
        <v>403</v>
      </c>
      <c r="D162" s="42" t="s">
        <v>404</v>
      </c>
      <c r="E162" s="42" t="s">
        <v>51</v>
      </c>
      <c r="F162" s="43">
        <v>2.86</v>
      </c>
      <c r="H162" s="43">
        <f>ROUND(F162*AE162,2)</f>
        <v>0</v>
      </c>
      <c r="I162" s="43">
        <f>J162-H162</f>
        <v>0</v>
      </c>
      <c r="J162" s="43">
        <f>ROUND(F162*G162,2)</f>
        <v>0</v>
      </c>
      <c r="K162" s="43">
        <v>0.075</v>
      </c>
      <c r="L162" s="43">
        <f>F162*K162</f>
        <v>0.2145</v>
      </c>
      <c r="M162" s="44" t="s">
        <v>52</v>
      </c>
      <c r="N162" s="44" t="s">
        <v>48</v>
      </c>
      <c r="O162" s="43">
        <f>IF(N162="5",I162,0)</f>
        <v>0</v>
      </c>
      <c r="Z162" s="43">
        <f>IF(AD162=0,J162,0)</f>
        <v>0</v>
      </c>
      <c r="AA162" s="43">
        <f>IF(AD162=15,J162,0)</f>
        <v>0</v>
      </c>
      <c r="AB162" s="43">
        <f>IF(AD162=21,J162,0)</f>
        <v>0</v>
      </c>
      <c r="AD162" s="45">
        <v>21</v>
      </c>
      <c r="AE162" s="45">
        <f>G162*0.177785714285714</f>
        <v>0</v>
      </c>
      <c r="AF162" s="45">
        <f>G162*(1-0.177785714285714)</f>
        <v>0</v>
      </c>
    </row>
    <row r="163" spans="1:32" ht="12.75">
      <c r="A163" s="42" t="s">
        <v>405</v>
      </c>
      <c r="B163" s="42"/>
      <c r="C163" s="42" t="s">
        <v>406</v>
      </c>
      <c r="D163" s="42" t="s">
        <v>407</v>
      </c>
      <c r="E163" s="42" t="s">
        <v>51</v>
      </c>
      <c r="F163" s="43">
        <v>3.9</v>
      </c>
      <c r="H163" s="43">
        <f>ROUND(F163*AE163,2)</f>
        <v>0</v>
      </c>
      <c r="I163" s="43">
        <f>J163-H163</f>
        <v>0</v>
      </c>
      <c r="J163" s="43">
        <f>ROUND(F163*G163,2)</f>
        <v>0</v>
      </c>
      <c r="K163" s="43">
        <v>0.054</v>
      </c>
      <c r="L163" s="43">
        <f>F163*K163</f>
        <v>0.21059999999999998</v>
      </c>
      <c r="M163" s="44" t="s">
        <v>52</v>
      </c>
      <c r="N163" s="44" t="s">
        <v>48</v>
      </c>
      <c r="O163" s="43">
        <f>IF(N163="5",I163,0)</f>
        <v>0</v>
      </c>
      <c r="Z163" s="43">
        <f>IF(AD163=0,J163,0)</f>
        <v>0</v>
      </c>
      <c r="AA163" s="43">
        <f>IF(AD163=15,J163,0)</f>
        <v>0</v>
      </c>
      <c r="AB163" s="43">
        <f>IF(AD163=21,J163,0)</f>
        <v>0</v>
      </c>
      <c r="AD163" s="45">
        <v>21</v>
      </c>
      <c r="AE163" s="45">
        <f>G163*0.157584905660377</f>
        <v>0</v>
      </c>
      <c r="AF163" s="45">
        <f>G163*(1-0.157584905660377)</f>
        <v>0</v>
      </c>
    </row>
    <row r="164" spans="1:32" ht="12.75">
      <c r="A164" s="42" t="s">
        <v>408</v>
      </c>
      <c r="B164" s="42"/>
      <c r="C164" s="42" t="s">
        <v>409</v>
      </c>
      <c r="D164" s="42" t="s">
        <v>410</v>
      </c>
      <c r="E164" s="42" t="s">
        <v>51</v>
      </c>
      <c r="F164" s="43">
        <v>4.95</v>
      </c>
      <c r="H164" s="43">
        <f>ROUND(F164*AE164,2)</f>
        <v>0</v>
      </c>
      <c r="I164" s="43">
        <f>J164-H164</f>
        <v>0</v>
      </c>
      <c r="J164" s="43">
        <f>ROUND(F164*G164,2)</f>
        <v>0</v>
      </c>
      <c r="K164" s="43">
        <v>0.023</v>
      </c>
      <c r="L164" s="43">
        <f>F164*K164</f>
        <v>0.11385</v>
      </c>
      <c r="M164" s="44" t="s">
        <v>52</v>
      </c>
      <c r="N164" s="44" t="s">
        <v>48</v>
      </c>
      <c r="O164" s="43">
        <f>IF(N164="5",I164,0)</f>
        <v>0</v>
      </c>
      <c r="Z164" s="43">
        <f>IF(AD164=0,J164,0)</f>
        <v>0</v>
      </c>
      <c r="AA164" s="43">
        <f>IF(AD164=15,J164,0)</f>
        <v>0</v>
      </c>
      <c r="AB164" s="43">
        <f>IF(AD164=21,J164,0)</f>
        <v>0</v>
      </c>
      <c r="AD164" s="45">
        <v>21</v>
      </c>
      <c r="AE164" s="45">
        <f>G164*0.261204481792717</f>
        <v>0</v>
      </c>
      <c r="AF164" s="45">
        <f>G164*(1-0.261204481792717)</f>
        <v>0</v>
      </c>
    </row>
    <row r="165" spans="1:32" ht="12.75">
      <c r="A165" s="42" t="s">
        <v>411</v>
      </c>
      <c r="B165" s="42"/>
      <c r="C165" s="42" t="s">
        <v>412</v>
      </c>
      <c r="D165" s="42" t="s">
        <v>413</v>
      </c>
      <c r="E165" s="42" t="s">
        <v>51</v>
      </c>
      <c r="F165" s="43">
        <v>1.82</v>
      </c>
      <c r="H165" s="43">
        <f>ROUND(F165*AE165,2)</f>
        <v>0</v>
      </c>
      <c r="I165" s="43">
        <f>J165-H165</f>
        <v>0</v>
      </c>
      <c r="J165" s="43">
        <f>ROUND(F165*G165,2)</f>
        <v>0</v>
      </c>
      <c r="K165" s="43">
        <v>0.088</v>
      </c>
      <c r="L165" s="43">
        <f>F165*K165</f>
        <v>0.16016</v>
      </c>
      <c r="M165" s="44" t="s">
        <v>52</v>
      </c>
      <c r="N165" s="44" t="s">
        <v>48</v>
      </c>
      <c r="O165" s="43">
        <f>IF(N165="5",I165,0)</f>
        <v>0</v>
      </c>
      <c r="Z165" s="43">
        <f>IF(AD165=0,J165,0)</f>
        <v>0</v>
      </c>
      <c r="AA165" s="43">
        <f>IF(AD165=15,J165,0)</f>
        <v>0</v>
      </c>
      <c r="AB165" s="43">
        <f>IF(AD165=21,J165,0)</f>
        <v>0</v>
      </c>
      <c r="AD165" s="45">
        <v>21</v>
      </c>
      <c r="AE165" s="45">
        <f>G165*0.165482866043614</f>
        <v>0</v>
      </c>
      <c r="AF165" s="45">
        <f>G165*(1-0.165482866043614)</f>
        <v>0</v>
      </c>
    </row>
    <row r="166" spans="1:32" ht="12.75">
      <c r="A166" s="42" t="s">
        <v>414</v>
      </c>
      <c r="B166" s="42"/>
      <c r="C166" s="42" t="s">
        <v>415</v>
      </c>
      <c r="D166" s="42" t="s">
        <v>416</v>
      </c>
      <c r="E166" s="42" t="s">
        <v>51</v>
      </c>
      <c r="F166" s="43">
        <v>2.5</v>
      </c>
      <c r="H166" s="43">
        <f>ROUND(F166*AE166,2)</f>
        <v>0</v>
      </c>
      <c r="I166" s="43">
        <f>J166-H166</f>
        <v>0</v>
      </c>
      <c r="J166" s="43">
        <f>ROUND(F166*G166,2)</f>
        <v>0</v>
      </c>
      <c r="K166" s="43">
        <v>0.067</v>
      </c>
      <c r="L166" s="43">
        <f>F166*K166</f>
        <v>0.1675</v>
      </c>
      <c r="M166" s="44" t="s">
        <v>52</v>
      </c>
      <c r="N166" s="44" t="s">
        <v>48</v>
      </c>
      <c r="O166" s="43">
        <f>IF(N166="5",I166,0)</f>
        <v>0</v>
      </c>
      <c r="Z166" s="43">
        <f>IF(AD166=0,J166,0)</f>
        <v>0</v>
      </c>
      <c r="AA166" s="43">
        <f>IF(AD166=15,J166,0)</f>
        <v>0</v>
      </c>
      <c r="AB166" s="43">
        <f>IF(AD166=21,J166,0)</f>
        <v>0</v>
      </c>
      <c r="AD166" s="45">
        <v>21</v>
      </c>
      <c r="AE166" s="45">
        <f>G166*0.150907037012426</f>
        <v>0</v>
      </c>
      <c r="AF166" s="45">
        <f>G166*(1-0.150907037012426)</f>
        <v>0</v>
      </c>
    </row>
    <row r="167" spans="1:32" ht="12.75">
      <c r="A167" s="42" t="s">
        <v>417</v>
      </c>
      <c r="B167" s="42"/>
      <c r="C167" s="42" t="s">
        <v>418</v>
      </c>
      <c r="D167" s="42" t="s">
        <v>419</v>
      </c>
      <c r="E167" s="42" t="s">
        <v>100</v>
      </c>
      <c r="F167" s="43">
        <v>9</v>
      </c>
      <c r="H167" s="43">
        <f>ROUND(F167*AE167,2)</f>
        <v>0</v>
      </c>
      <c r="I167" s="43">
        <f>J167-H167</f>
        <v>0</v>
      </c>
      <c r="J167" s="43">
        <f>ROUND(F167*G167,2)</f>
        <v>0</v>
      </c>
      <c r="K167" s="43">
        <v>0</v>
      </c>
      <c r="L167" s="43">
        <f>F167*K167</f>
        <v>0</v>
      </c>
      <c r="M167" s="44" t="s">
        <v>52</v>
      </c>
      <c r="N167" s="44" t="s">
        <v>48</v>
      </c>
      <c r="O167" s="43">
        <f>IF(N167="5",I167,0)</f>
        <v>0</v>
      </c>
      <c r="Z167" s="43">
        <f>IF(AD167=0,J167,0)</f>
        <v>0</v>
      </c>
      <c r="AA167" s="43">
        <f>IF(AD167=15,J167,0)</f>
        <v>0</v>
      </c>
      <c r="AB167" s="43">
        <f>IF(AD167=21,J167,0)</f>
        <v>0</v>
      </c>
      <c r="AD167" s="45">
        <v>21</v>
      </c>
      <c r="AE167" s="45">
        <f>G167*0</f>
        <v>0</v>
      </c>
      <c r="AF167" s="45">
        <f>G167*(1-0)</f>
        <v>0</v>
      </c>
    </row>
    <row r="168" spans="1:32" ht="12.75">
      <c r="A168" s="42" t="s">
        <v>420</v>
      </c>
      <c r="B168" s="42"/>
      <c r="C168" s="42" t="s">
        <v>421</v>
      </c>
      <c r="D168" s="42" t="s">
        <v>422</v>
      </c>
      <c r="E168" s="42" t="s">
        <v>100</v>
      </c>
      <c r="F168" s="43">
        <v>2.21</v>
      </c>
      <c r="H168" s="43">
        <f>ROUND(F168*AE168,2)</f>
        <v>0</v>
      </c>
      <c r="I168" s="43">
        <f>J168-H168</f>
        <v>0</v>
      </c>
      <c r="J168" s="43">
        <f>ROUND(F168*G168,2)</f>
        <v>0</v>
      </c>
      <c r="K168" s="43">
        <v>0</v>
      </c>
      <c r="L168" s="43">
        <f>F168*K168</f>
        <v>0</v>
      </c>
      <c r="M168" s="44" t="s">
        <v>52</v>
      </c>
      <c r="N168" s="44" t="s">
        <v>48</v>
      </c>
      <c r="O168" s="43">
        <f>IF(N168="5",I168,0)</f>
        <v>0</v>
      </c>
      <c r="Z168" s="43">
        <f>IF(AD168=0,J168,0)</f>
        <v>0</v>
      </c>
      <c r="AA168" s="43">
        <f>IF(AD168=15,J168,0)</f>
        <v>0</v>
      </c>
      <c r="AB168" s="43">
        <f>IF(AD168=21,J168,0)</f>
        <v>0</v>
      </c>
      <c r="AD168" s="45">
        <v>21</v>
      </c>
      <c r="AE168" s="45">
        <f>G168*0</f>
        <v>0</v>
      </c>
      <c r="AF168" s="45">
        <f>G168*(1-0)</f>
        <v>0</v>
      </c>
    </row>
    <row r="169" spans="1:32" ht="12.75">
      <c r="A169" s="42" t="s">
        <v>423</v>
      </c>
      <c r="B169" s="42"/>
      <c r="C169" s="42" t="s">
        <v>424</v>
      </c>
      <c r="D169" s="42" t="s">
        <v>425</v>
      </c>
      <c r="E169" s="42" t="s">
        <v>51</v>
      </c>
      <c r="F169" s="43">
        <v>8.52</v>
      </c>
      <c r="H169" s="43">
        <f>ROUND(F169*AE169,2)</f>
        <v>0</v>
      </c>
      <c r="I169" s="43">
        <f>J169-H169</f>
        <v>0</v>
      </c>
      <c r="J169" s="43">
        <f>ROUND(F169*G169,2)</f>
        <v>0</v>
      </c>
      <c r="K169" s="43">
        <v>0.015</v>
      </c>
      <c r="L169" s="43">
        <f>F169*K169</f>
        <v>0.1278</v>
      </c>
      <c r="M169" s="44" t="s">
        <v>52</v>
      </c>
      <c r="N169" s="44" t="s">
        <v>48</v>
      </c>
      <c r="O169" s="43">
        <f>IF(N169="5",I169,0)</f>
        <v>0</v>
      </c>
      <c r="Z169" s="43">
        <f>IF(AD169=0,J169,0)</f>
        <v>0</v>
      </c>
      <c r="AA169" s="43">
        <f>IF(AD169=15,J169,0)</f>
        <v>0</v>
      </c>
      <c r="AB169" s="43">
        <f>IF(AD169=21,J169,0)</f>
        <v>0</v>
      </c>
      <c r="AD169" s="45">
        <v>21</v>
      </c>
      <c r="AE169" s="45">
        <f>G169*0.214203454894434</f>
        <v>0</v>
      </c>
      <c r="AF169" s="45">
        <f>G169*(1-0.214203454894434)</f>
        <v>0</v>
      </c>
    </row>
    <row r="170" spans="1:32" ht="12.75">
      <c r="A170" s="42" t="s">
        <v>426</v>
      </c>
      <c r="B170" s="42"/>
      <c r="C170" s="42" t="s">
        <v>427</v>
      </c>
      <c r="D170" s="42" t="s">
        <v>428</v>
      </c>
      <c r="E170" s="42" t="s">
        <v>394</v>
      </c>
      <c r="F170" s="43">
        <v>0.5</v>
      </c>
      <c r="H170" s="43">
        <f>ROUND(F170*AE170,2)</f>
        <v>0</v>
      </c>
      <c r="I170" s="43">
        <f>J170-H170</f>
        <v>0</v>
      </c>
      <c r="J170" s="43">
        <f>ROUND(F170*G170,2)</f>
        <v>0</v>
      </c>
      <c r="K170" s="43">
        <v>0</v>
      </c>
      <c r="L170" s="43">
        <f>F170*K170</f>
        <v>0</v>
      </c>
      <c r="M170" s="44" t="s">
        <v>52</v>
      </c>
      <c r="N170" s="44" t="s">
        <v>48</v>
      </c>
      <c r="O170" s="43">
        <f>IF(N170="5",I170,0)</f>
        <v>0</v>
      </c>
      <c r="Z170" s="43">
        <f>IF(AD170=0,J170,0)</f>
        <v>0</v>
      </c>
      <c r="AA170" s="43">
        <f>IF(AD170=15,J170,0)</f>
        <v>0</v>
      </c>
      <c r="AB170" s="43">
        <f>IF(AD170=21,J170,0)</f>
        <v>0</v>
      </c>
      <c r="AD170" s="45">
        <v>21</v>
      </c>
      <c r="AE170" s="45">
        <f>G170*0</f>
        <v>0</v>
      </c>
      <c r="AF170" s="45">
        <f>G170*(1-0)</f>
        <v>0</v>
      </c>
    </row>
    <row r="171" spans="1:32" ht="12.75">
      <c r="A171" s="42" t="s">
        <v>429</v>
      </c>
      <c r="B171" s="42"/>
      <c r="C171" s="42" t="s">
        <v>195</v>
      </c>
      <c r="D171" s="42" t="s">
        <v>196</v>
      </c>
      <c r="E171" s="42" t="s">
        <v>64</v>
      </c>
      <c r="F171" s="43">
        <v>0.99441</v>
      </c>
      <c r="H171" s="43">
        <f>ROUND(F171*AE171,2)</f>
        <v>0</v>
      </c>
      <c r="I171" s="43">
        <f>J171-H171</f>
        <v>0</v>
      </c>
      <c r="J171" s="43">
        <f>ROUND(F171*G171,2)</f>
        <v>0</v>
      </c>
      <c r="K171" s="43">
        <v>0</v>
      </c>
      <c r="L171" s="43">
        <f>F171*K171</f>
        <v>0</v>
      </c>
      <c r="M171" s="44" t="s">
        <v>52</v>
      </c>
      <c r="N171" s="44" t="s">
        <v>65</v>
      </c>
      <c r="O171" s="43">
        <f>IF(N171="5",I171,0)</f>
        <v>0</v>
      </c>
      <c r="Z171" s="43">
        <f>IF(AD171=0,J171,0)</f>
        <v>0</v>
      </c>
      <c r="AA171" s="43">
        <f>IF(AD171=15,J171,0)</f>
        <v>0</v>
      </c>
      <c r="AB171" s="43">
        <f>IF(AD171=21,J171,0)</f>
        <v>0</v>
      </c>
      <c r="AD171" s="45">
        <v>21</v>
      </c>
      <c r="AE171" s="45">
        <f>G171*0</f>
        <v>0</v>
      </c>
      <c r="AF171" s="45">
        <f>G171*(1-0)</f>
        <v>0</v>
      </c>
    </row>
    <row r="172" spans="1:32" ht="12.75">
      <c r="A172" s="42" t="s">
        <v>430</v>
      </c>
      <c r="B172" s="42"/>
      <c r="C172" s="42" t="s">
        <v>431</v>
      </c>
      <c r="D172" s="42" t="s">
        <v>432</v>
      </c>
      <c r="E172" s="42" t="s">
        <v>51</v>
      </c>
      <c r="F172" s="43">
        <v>8.89</v>
      </c>
      <c r="H172" s="43">
        <f>ROUND(F172*AE172,2)</f>
        <v>0</v>
      </c>
      <c r="I172" s="43">
        <f>J172-H172</f>
        <v>0</v>
      </c>
      <c r="J172" s="43">
        <f>ROUND(F172*G172,2)</f>
        <v>0</v>
      </c>
      <c r="K172" s="43">
        <v>0.076</v>
      </c>
      <c r="L172" s="43">
        <f>F172*K172</f>
        <v>0.67564</v>
      </c>
      <c r="M172" s="44" t="s">
        <v>52</v>
      </c>
      <c r="N172" s="44" t="s">
        <v>48</v>
      </c>
      <c r="O172" s="43">
        <f>IF(N172="5",I172,0)</f>
        <v>0</v>
      </c>
      <c r="Z172" s="43">
        <f>IF(AD172=0,J172,0)</f>
        <v>0</v>
      </c>
      <c r="AA172" s="43">
        <f>IF(AD172=15,J172,0)</f>
        <v>0</v>
      </c>
      <c r="AB172" s="43">
        <f>IF(AD172=21,J172,0)</f>
        <v>0</v>
      </c>
      <c r="AD172" s="45">
        <v>21</v>
      </c>
      <c r="AE172" s="45">
        <f>G172*0.106027944111776</f>
        <v>0</v>
      </c>
      <c r="AF172" s="45">
        <f>G172*(1-0.106027944111776)</f>
        <v>0</v>
      </c>
    </row>
    <row r="173" spans="1:32" ht="12.75">
      <c r="A173" s="42" t="s">
        <v>433</v>
      </c>
      <c r="B173" s="42"/>
      <c r="C173" s="42" t="s">
        <v>195</v>
      </c>
      <c r="D173" s="42" t="s">
        <v>196</v>
      </c>
      <c r="E173" s="42" t="s">
        <v>64</v>
      </c>
      <c r="F173" s="43">
        <v>0.67564</v>
      </c>
      <c r="H173" s="43">
        <f>ROUND(F173*AE173,2)</f>
        <v>0</v>
      </c>
      <c r="I173" s="43">
        <f>J173-H173</f>
        <v>0</v>
      </c>
      <c r="J173" s="43">
        <f>ROUND(F173*G173,2)</f>
        <v>0</v>
      </c>
      <c r="K173" s="43">
        <v>0</v>
      </c>
      <c r="L173" s="43">
        <f>F173*K173</f>
        <v>0</v>
      </c>
      <c r="M173" s="44" t="s">
        <v>52</v>
      </c>
      <c r="N173" s="44" t="s">
        <v>65</v>
      </c>
      <c r="O173" s="43">
        <f>IF(N173="5",I173,0)</f>
        <v>0</v>
      </c>
      <c r="Z173" s="43">
        <f>IF(AD173=0,J173,0)</f>
        <v>0</v>
      </c>
      <c r="AA173" s="43">
        <f>IF(AD173=15,J173,0)</f>
        <v>0</v>
      </c>
      <c r="AB173" s="43">
        <f>IF(AD173=21,J173,0)</f>
        <v>0</v>
      </c>
      <c r="AD173" s="45">
        <v>21</v>
      </c>
      <c r="AE173" s="45">
        <f>G173*0</f>
        <v>0</v>
      </c>
      <c r="AF173" s="45">
        <f>G173*(1-0)</f>
        <v>0</v>
      </c>
    </row>
    <row r="174" spans="1:37" ht="12.75">
      <c r="A174" s="39"/>
      <c r="B174" s="40"/>
      <c r="C174" s="40" t="s">
        <v>368</v>
      </c>
      <c r="D174" s="40" t="s">
        <v>434</v>
      </c>
      <c r="E174" s="40"/>
      <c r="F174" s="40"/>
      <c r="G174" s="40"/>
      <c r="H174" s="41">
        <f>SUM(H175:H178)</f>
        <v>0</v>
      </c>
      <c r="I174" s="41">
        <f>SUM(I175:I178)</f>
        <v>0</v>
      </c>
      <c r="J174" s="41">
        <f>H174+I174</f>
        <v>0</v>
      </c>
      <c r="K174" s="34"/>
      <c r="L174" s="41">
        <f>SUM(L175:L178)</f>
        <v>2.24982</v>
      </c>
      <c r="M174" s="34"/>
      <c r="P174" s="41">
        <f>IF(Q174="PR",J174,SUM(O175:O178))</f>
        <v>0</v>
      </c>
      <c r="Q174" s="34" t="s">
        <v>47</v>
      </c>
      <c r="R174" s="41">
        <f>IF(Q174="HS",H174,0)</f>
        <v>0</v>
      </c>
      <c r="S174" s="41">
        <f>IF(Q174="HS",I174-P174,0)</f>
        <v>0</v>
      </c>
      <c r="T174" s="41">
        <f>IF(Q174="PS",H174,0)</f>
        <v>0</v>
      </c>
      <c r="U174" s="41">
        <f>IF(Q174="PS",I174-P174,0)</f>
        <v>0</v>
      </c>
      <c r="V174" s="41">
        <f>IF(Q174="MP",H174,0)</f>
        <v>0</v>
      </c>
      <c r="W174" s="41">
        <f>IF(Q174="MP",I174-P174,0)</f>
        <v>0</v>
      </c>
      <c r="X174" s="41">
        <f>IF(Q174="OM",H174,0)</f>
        <v>0</v>
      </c>
      <c r="Y174" s="34"/>
      <c r="AI174" s="41">
        <f>SUM(Z175:Z178)</f>
        <v>0</v>
      </c>
      <c r="AJ174" s="41">
        <f>SUM(AA175:AA178)</f>
        <v>0</v>
      </c>
      <c r="AK174" s="41">
        <f>SUM(AB175:AB178)</f>
        <v>0</v>
      </c>
    </row>
    <row r="175" spans="1:32" ht="12.75">
      <c r="A175" s="42" t="s">
        <v>435</v>
      </c>
      <c r="B175" s="42"/>
      <c r="C175" s="42" t="s">
        <v>436</v>
      </c>
      <c r="D175" s="42" t="s">
        <v>437</v>
      </c>
      <c r="E175" s="42" t="s">
        <v>51</v>
      </c>
      <c r="F175" s="43">
        <v>1.85</v>
      </c>
      <c r="H175" s="43">
        <f>ROUND(F175*AE175,2)</f>
        <v>0</v>
      </c>
      <c r="I175" s="43">
        <f>J175-H175</f>
        <v>0</v>
      </c>
      <c r="J175" s="43">
        <f>ROUND(F175*G175,2)</f>
        <v>0</v>
      </c>
      <c r="K175" s="43">
        <v>0.27</v>
      </c>
      <c r="L175" s="43">
        <f>F175*K175</f>
        <v>0.49950000000000006</v>
      </c>
      <c r="M175" s="44" t="s">
        <v>52</v>
      </c>
      <c r="N175" s="44" t="s">
        <v>48</v>
      </c>
      <c r="O175" s="43">
        <f>IF(N175="5",I175,0)</f>
        <v>0</v>
      </c>
      <c r="Z175" s="43">
        <f>IF(AD175=0,J175,0)</f>
        <v>0</v>
      </c>
      <c r="AA175" s="43">
        <f>IF(AD175=15,J175,0)</f>
        <v>0</v>
      </c>
      <c r="AB175" s="43">
        <f>IF(AD175=21,J175,0)</f>
        <v>0</v>
      </c>
      <c r="AD175" s="45">
        <v>21</v>
      </c>
      <c r="AE175" s="45">
        <f>G175*0.18029784567931</f>
        <v>0</v>
      </c>
      <c r="AF175" s="45">
        <f>G175*(1-0.18029784567931)</f>
        <v>0</v>
      </c>
    </row>
    <row r="176" spans="1:32" ht="12.75">
      <c r="A176" s="42" t="s">
        <v>438</v>
      </c>
      <c r="B176" s="42"/>
      <c r="C176" s="42" t="s">
        <v>439</v>
      </c>
      <c r="D176" s="42" t="s">
        <v>440</v>
      </c>
      <c r="E176" s="42" t="s">
        <v>51</v>
      </c>
      <c r="F176" s="43">
        <v>25.74</v>
      </c>
      <c r="H176" s="43">
        <f>ROUND(F176*AE176,2)</f>
        <v>0</v>
      </c>
      <c r="I176" s="43">
        <f>J176-H176</f>
        <v>0</v>
      </c>
      <c r="J176" s="43">
        <f>ROUND(F176*G176,2)</f>
        <v>0</v>
      </c>
      <c r="K176" s="43">
        <v>0.068</v>
      </c>
      <c r="L176" s="43">
        <f>F176*K176</f>
        <v>1.75032</v>
      </c>
      <c r="M176" s="44" t="s">
        <v>52</v>
      </c>
      <c r="N176" s="44" t="s">
        <v>48</v>
      </c>
      <c r="O176" s="43">
        <f>IF(N176="5",I176,0)</f>
        <v>0</v>
      </c>
      <c r="Z176" s="43">
        <f>IF(AD176=0,J176,0)</f>
        <v>0</v>
      </c>
      <c r="AA176" s="43">
        <f>IF(AD176=15,J176,0)</f>
        <v>0</v>
      </c>
      <c r="AB176" s="43">
        <f>IF(AD176=21,J176,0)</f>
        <v>0</v>
      </c>
      <c r="AD176" s="45">
        <v>21</v>
      </c>
      <c r="AE176" s="45">
        <f>G176*0</f>
        <v>0</v>
      </c>
      <c r="AF176" s="45">
        <f>G176*(1-0)</f>
        <v>0</v>
      </c>
    </row>
    <row r="177" ht="12.75">
      <c r="D177" s="10" t="s">
        <v>441</v>
      </c>
    </row>
    <row r="178" spans="1:32" ht="12.75">
      <c r="A178" s="42" t="s">
        <v>442</v>
      </c>
      <c r="B178" s="42"/>
      <c r="C178" s="42" t="s">
        <v>195</v>
      </c>
      <c r="D178" s="42" t="s">
        <v>196</v>
      </c>
      <c r="E178" s="42" t="s">
        <v>64</v>
      </c>
      <c r="F178" s="43">
        <v>2.24982</v>
      </c>
      <c r="H178" s="43">
        <f>ROUND(F178*AE178,2)</f>
        <v>0</v>
      </c>
      <c r="I178" s="43">
        <f>J178-H178</f>
        <v>0</v>
      </c>
      <c r="J178" s="43">
        <f>ROUND(F178*G178,2)</f>
        <v>0</v>
      </c>
      <c r="K178" s="43">
        <v>0</v>
      </c>
      <c r="L178" s="43">
        <f>F178*K178</f>
        <v>0</v>
      </c>
      <c r="M178" s="44" t="s">
        <v>52</v>
      </c>
      <c r="N178" s="44" t="s">
        <v>65</v>
      </c>
      <c r="O178" s="43">
        <f>IF(N178="5",I178,0)</f>
        <v>0</v>
      </c>
      <c r="Z178" s="43">
        <f>IF(AD178=0,J178,0)</f>
        <v>0</v>
      </c>
      <c r="AA178" s="43">
        <f>IF(AD178=15,J178,0)</f>
        <v>0</v>
      </c>
      <c r="AB178" s="43">
        <f>IF(AD178=21,J178,0)</f>
        <v>0</v>
      </c>
      <c r="AD178" s="45">
        <v>21</v>
      </c>
      <c r="AE178" s="45">
        <f>G178*0</f>
        <v>0</v>
      </c>
      <c r="AF178" s="45">
        <f>G178*(1-0)</f>
        <v>0</v>
      </c>
    </row>
    <row r="179" spans="1:37" ht="12.75">
      <c r="A179" s="39"/>
      <c r="B179" s="40"/>
      <c r="C179" s="40" t="s">
        <v>443</v>
      </c>
      <c r="D179" s="40" t="s">
        <v>444</v>
      </c>
      <c r="E179" s="40"/>
      <c r="F179" s="40"/>
      <c r="G179" s="40"/>
      <c r="H179" s="41">
        <f>SUM(H180:H180)</f>
        <v>0</v>
      </c>
      <c r="I179" s="41">
        <f>SUM(I180:I180)</f>
        <v>0</v>
      </c>
      <c r="J179" s="41">
        <f>H179+I179</f>
        <v>0</v>
      </c>
      <c r="K179" s="34"/>
      <c r="L179" s="41">
        <f>SUM(L180:L180)</f>
        <v>0</v>
      </c>
      <c r="M179" s="34"/>
      <c r="P179" s="41">
        <f>IF(Q179="PR",J179,SUM(O180:O180))</f>
        <v>0</v>
      </c>
      <c r="Q179" s="34" t="s">
        <v>47</v>
      </c>
      <c r="R179" s="41">
        <f>IF(Q179="HS",H179,0)</f>
        <v>0</v>
      </c>
      <c r="S179" s="41">
        <f>IF(Q179="HS",I179-P179,0)</f>
        <v>0</v>
      </c>
      <c r="T179" s="41">
        <f>IF(Q179="PS",H179,0)</f>
        <v>0</v>
      </c>
      <c r="U179" s="41">
        <f>IF(Q179="PS",I179-P179,0)</f>
        <v>0</v>
      </c>
      <c r="V179" s="41">
        <f>IF(Q179="MP",H179,0)</f>
        <v>0</v>
      </c>
      <c r="W179" s="41">
        <f>IF(Q179="MP",I179-P179,0)</f>
        <v>0</v>
      </c>
      <c r="X179" s="41">
        <f>IF(Q179="OM",H179,0)</f>
        <v>0</v>
      </c>
      <c r="Y179" s="34"/>
      <c r="AI179" s="41">
        <f>SUM(Z180:Z180)</f>
        <v>0</v>
      </c>
      <c r="AJ179" s="41">
        <f>SUM(AA180:AA180)</f>
        <v>0</v>
      </c>
      <c r="AK179" s="41">
        <f>SUM(AB180:AB180)</f>
        <v>0</v>
      </c>
    </row>
    <row r="180" spans="1:32" ht="12.75">
      <c r="A180" s="42" t="s">
        <v>445</v>
      </c>
      <c r="B180" s="42"/>
      <c r="C180" s="42" t="s">
        <v>446</v>
      </c>
      <c r="D180" s="42" t="s">
        <v>447</v>
      </c>
      <c r="E180" s="42" t="s">
        <v>448</v>
      </c>
      <c r="F180" s="43">
        <v>1</v>
      </c>
      <c r="H180" s="43">
        <f>ROUND(F180*AE180,2)</f>
        <v>0</v>
      </c>
      <c r="I180" s="43">
        <f>J180-H180</f>
        <v>0</v>
      </c>
      <c r="J180" s="43">
        <f>ROUND(F180*G180,2)</f>
        <v>0</v>
      </c>
      <c r="K180" s="43">
        <v>0</v>
      </c>
      <c r="L180" s="43">
        <f>F180*K180</f>
        <v>0</v>
      </c>
      <c r="M180" s="44"/>
      <c r="N180" s="44" t="s">
        <v>48</v>
      </c>
      <c r="O180" s="43">
        <f>IF(N180="5",I180,0)</f>
        <v>0</v>
      </c>
      <c r="Z180" s="43">
        <f>IF(AD180=0,J180,0)</f>
        <v>0</v>
      </c>
      <c r="AA180" s="43">
        <f>IF(AD180=15,J180,0)</f>
        <v>0</v>
      </c>
      <c r="AB180" s="43">
        <f>IF(AD180=21,J180,0)</f>
        <v>0</v>
      </c>
      <c r="AD180" s="45">
        <v>21</v>
      </c>
      <c r="AE180" s="45">
        <f>G180*0</f>
        <v>0</v>
      </c>
      <c r="AF180" s="45">
        <f>G180*(1-0)</f>
        <v>0</v>
      </c>
    </row>
    <row r="181" ht="12.75">
      <c r="D181" s="10" t="s">
        <v>449</v>
      </c>
    </row>
    <row r="182" spans="1:37" ht="12.75">
      <c r="A182" s="39"/>
      <c r="B182" s="40"/>
      <c r="C182" s="40" t="s">
        <v>450</v>
      </c>
      <c r="D182" s="40" t="s">
        <v>451</v>
      </c>
      <c r="E182" s="40"/>
      <c r="F182" s="40"/>
      <c r="G182" s="40"/>
      <c r="H182" s="41">
        <f>SUM(H183:H190)</f>
        <v>0</v>
      </c>
      <c r="I182" s="41">
        <f>SUM(I183:I190)</f>
        <v>0</v>
      </c>
      <c r="J182" s="41">
        <f>H182+I182</f>
        <v>0</v>
      </c>
      <c r="K182" s="34"/>
      <c r="L182" s="41">
        <f>SUM(L183:L190)</f>
        <v>0.01889</v>
      </c>
      <c r="M182" s="34"/>
      <c r="P182" s="41">
        <f>IF(Q182="PR",J182,SUM(O183:O190))</f>
        <v>0</v>
      </c>
      <c r="Q182" s="34" t="s">
        <v>452</v>
      </c>
      <c r="R182" s="41">
        <f>IF(Q182="HS",H182,0)</f>
        <v>0</v>
      </c>
      <c r="S182" s="41">
        <f>IF(Q182="HS",I182-P182,0)</f>
        <v>0</v>
      </c>
      <c r="T182" s="41">
        <f>IF(Q182="PS",H182,0)</f>
        <v>0</v>
      </c>
      <c r="U182" s="41">
        <f>IF(Q182="PS",I182-P182,0)</f>
        <v>0</v>
      </c>
      <c r="V182" s="41">
        <f>IF(Q182="MP",H182,0)</f>
        <v>0</v>
      </c>
      <c r="W182" s="41">
        <f>IF(Q182="MP",I182-P182,0)</f>
        <v>0</v>
      </c>
      <c r="X182" s="41">
        <f>IF(Q182="OM",H182,0)</f>
        <v>0</v>
      </c>
      <c r="Y182" s="34"/>
      <c r="AI182" s="41">
        <f>SUM(Z183:Z190)</f>
        <v>0</v>
      </c>
      <c r="AJ182" s="41">
        <f>SUM(AA183:AA190)</f>
        <v>0</v>
      </c>
      <c r="AK182" s="41">
        <f>SUM(AB183:AB190)</f>
        <v>0</v>
      </c>
    </row>
    <row r="183" spans="1:32" ht="12.75">
      <c r="A183" s="42" t="s">
        <v>453</v>
      </c>
      <c r="B183" s="42"/>
      <c r="C183" s="42" t="s">
        <v>454</v>
      </c>
      <c r="D183" s="42" t="s">
        <v>455</v>
      </c>
      <c r="E183" s="42" t="s">
        <v>100</v>
      </c>
      <c r="F183" s="43">
        <v>16</v>
      </c>
      <c r="H183" s="43">
        <f>ROUND(F183*AE183,2)</f>
        <v>0</v>
      </c>
      <c r="I183" s="43">
        <f>J183-H183</f>
        <v>0</v>
      </c>
      <c r="J183" s="43">
        <f>ROUND(F183*G183,2)</f>
        <v>0</v>
      </c>
      <c r="K183" s="43">
        <v>0</v>
      </c>
      <c r="L183" s="43">
        <f>F183*K183</f>
        <v>0</v>
      </c>
      <c r="M183" s="44" t="s">
        <v>52</v>
      </c>
      <c r="N183" s="44" t="s">
        <v>53</v>
      </c>
      <c r="O183" s="43">
        <f>IF(N183="5",I183,0)</f>
        <v>0</v>
      </c>
      <c r="Z183" s="43">
        <f>IF(AD183=0,J183,0)</f>
        <v>0</v>
      </c>
      <c r="AA183" s="43">
        <f>IF(AD183=15,J183,0)</f>
        <v>0</v>
      </c>
      <c r="AB183" s="43">
        <f>IF(AD183=21,J183,0)</f>
        <v>0</v>
      </c>
      <c r="AD183" s="45">
        <v>21</v>
      </c>
      <c r="AE183" s="45">
        <f>G183*0</f>
        <v>0</v>
      </c>
      <c r="AF183" s="45">
        <f>G183*(1-0)</f>
        <v>0</v>
      </c>
    </row>
    <row r="184" ht="12.75">
      <c r="D184" s="10" t="s">
        <v>456</v>
      </c>
    </row>
    <row r="185" spans="1:32" ht="12.75">
      <c r="A185" s="11" t="s">
        <v>457</v>
      </c>
      <c r="B185" s="11"/>
      <c r="C185" s="11" t="s">
        <v>458</v>
      </c>
      <c r="D185" s="11" t="s">
        <v>459</v>
      </c>
      <c r="E185" s="11" t="s">
        <v>100</v>
      </c>
      <c r="F185" s="45">
        <v>12</v>
      </c>
      <c r="H185" s="45">
        <f>ROUND(F185*AE185,2)</f>
        <v>0</v>
      </c>
      <c r="I185" s="45">
        <f>J185-H185</f>
        <v>0</v>
      </c>
      <c r="J185" s="45">
        <f>ROUND(F185*G185,2)</f>
        <v>0</v>
      </c>
      <c r="K185" s="45">
        <v>0.0009</v>
      </c>
      <c r="L185" s="45">
        <f>F185*K185</f>
        <v>0.0108</v>
      </c>
      <c r="M185" s="46"/>
      <c r="N185" s="46" t="s">
        <v>60</v>
      </c>
      <c r="O185" s="45">
        <f>IF(N185="5",I185,0)</f>
        <v>0</v>
      </c>
      <c r="Z185" s="45">
        <f>IF(AD185=0,J185,0)</f>
        <v>0</v>
      </c>
      <c r="AA185" s="45">
        <f>IF(AD185=15,J185,0)</f>
        <v>0</v>
      </c>
      <c r="AB185" s="45">
        <f>IF(AD185=21,J185,0)</f>
        <v>0</v>
      </c>
      <c r="AD185" s="45">
        <v>21</v>
      </c>
      <c r="AE185" s="45">
        <f>G185*1</f>
        <v>0</v>
      </c>
      <c r="AF185" s="45">
        <f>G185*(1-1)</f>
        <v>0</v>
      </c>
    </row>
    <row r="186" spans="1:32" ht="12.75">
      <c r="A186" s="11" t="s">
        <v>460</v>
      </c>
      <c r="B186" s="11"/>
      <c r="C186" s="11" t="s">
        <v>461</v>
      </c>
      <c r="D186" s="11" t="s">
        <v>462</v>
      </c>
      <c r="E186" s="11" t="s">
        <v>100</v>
      </c>
      <c r="F186" s="45">
        <v>4</v>
      </c>
      <c r="H186" s="45">
        <f>ROUND(F186*AE186,2)</f>
        <v>0</v>
      </c>
      <c r="I186" s="45">
        <f>J186-H186</f>
        <v>0</v>
      </c>
      <c r="J186" s="45">
        <f>ROUND(F186*G186,2)</f>
        <v>0</v>
      </c>
      <c r="K186" s="45">
        <v>0.0009</v>
      </c>
      <c r="L186" s="45">
        <f>F186*K186</f>
        <v>0.0036</v>
      </c>
      <c r="M186" s="46"/>
      <c r="N186" s="46" t="s">
        <v>60</v>
      </c>
      <c r="O186" s="45">
        <f>IF(N186="5",I186,0)</f>
        <v>0</v>
      </c>
      <c r="Z186" s="45">
        <f>IF(AD186=0,J186,0)</f>
        <v>0</v>
      </c>
      <c r="AA186" s="45">
        <f>IF(AD186=15,J186,0)</f>
        <v>0</v>
      </c>
      <c r="AB186" s="45">
        <f>IF(AD186=21,J186,0)</f>
        <v>0</v>
      </c>
      <c r="AD186" s="45">
        <v>21</v>
      </c>
      <c r="AE186" s="45">
        <f>G186*1</f>
        <v>0</v>
      </c>
      <c r="AF186" s="45">
        <f>G186*(1-1)</f>
        <v>0</v>
      </c>
    </row>
    <row r="187" spans="1:32" ht="12.75">
      <c r="A187" s="42" t="s">
        <v>463</v>
      </c>
      <c r="B187" s="42"/>
      <c r="C187" s="42" t="s">
        <v>464</v>
      </c>
      <c r="D187" s="42" t="s">
        <v>465</v>
      </c>
      <c r="E187" s="42" t="s">
        <v>100</v>
      </c>
      <c r="F187" s="43">
        <v>5</v>
      </c>
      <c r="H187" s="43">
        <f>ROUND(F187*AE187,2)</f>
        <v>0</v>
      </c>
      <c r="I187" s="43">
        <f>J187-H187</f>
        <v>0</v>
      </c>
      <c r="J187" s="43">
        <f>ROUND(F187*G187,2)</f>
        <v>0</v>
      </c>
      <c r="K187" s="43">
        <v>0</v>
      </c>
      <c r="L187" s="43">
        <f>F187*K187</f>
        <v>0</v>
      </c>
      <c r="M187" s="44"/>
      <c r="N187" s="44" t="s">
        <v>53</v>
      </c>
      <c r="O187" s="43">
        <f>IF(N187="5",I187,0)</f>
        <v>0</v>
      </c>
      <c r="Z187" s="43">
        <f>IF(AD187=0,J187,0)</f>
        <v>0</v>
      </c>
      <c r="AA187" s="43">
        <f>IF(AD187=15,J187,0)</f>
        <v>0</v>
      </c>
      <c r="AB187" s="43">
        <f>IF(AD187=21,J187,0)</f>
        <v>0</v>
      </c>
      <c r="AD187" s="45">
        <v>21</v>
      </c>
      <c r="AE187" s="45">
        <f>G187*0</f>
        <v>0</v>
      </c>
      <c r="AF187" s="45">
        <f>G187*(1-0)</f>
        <v>0</v>
      </c>
    </row>
    <row r="188" spans="1:32" ht="12.75">
      <c r="A188" s="11" t="s">
        <v>466</v>
      </c>
      <c r="B188" s="11"/>
      <c r="C188" s="11" t="s">
        <v>467</v>
      </c>
      <c r="D188" s="11" t="s">
        <v>468</v>
      </c>
      <c r="E188" s="11" t="s">
        <v>100</v>
      </c>
      <c r="F188" s="45">
        <v>1</v>
      </c>
      <c r="H188" s="45">
        <f>ROUND(F188*AE188,2)</f>
        <v>0</v>
      </c>
      <c r="I188" s="45">
        <f>J188-H188</f>
        <v>0</v>
      </c>
      <c r="J188" s="45">
        <f>ROUND(F188*G188,2)</f>
        <v>0</v>
      </c>
      <c r="K188" s="45">
        <v>0.002</v>
      </c>
      <c r="L188" s="45">
        <f>F188*K188</f>
        <v>0.002</v>
      </c>
      <c r="M188" s="46"/>
      <c r="N188" s="46" t="s">
        <v>60</v>
      </c>
      <c r="O188" s="45">
        <f>IF(N188="5",I188,0)</f>
        <v>0</v>
      </c>
      <c r="Z188" s="45">
        <f>IF(AD188=0,J188,0)</f>
        <v>0</v>
      </c>
      <c r="AA188" s="45">
        <f>IF(AD188=15,J188,0)</f>
        <v>0</v>
      </c>
      <c r="AB188" s="45">
        <f>IF(AD188=21,J188,0)</f>
        <v>0</v>
      </c>
      <c r="AD188" s="45">
        <v>21</v>
      </c>
      <c r="AE188" s="45">
        <f>G188*1</f>
        <v>0</v>
      </c>
      <c r="AF188" s="45">
        <f>G188*(1-1)</f>
        <v>0</v>
      </c>
    </row>
    <row r="189" spans="1:32" ht="12.75">
      <c r="A189" s="11" t="s">
        <v>469</v>
      </c>
      <c r="B189" s="11"/>
      <c r="C189" s="11" t="s">
        <v>470</v>
      </c>
      <c r="D189" s="11" t="s">
        <v>471</v>
      </c>
      <c r="E189" s="11" t="s">
        <v>100</v>
      </c>
      <c r="F189" s="45">
        <v>1</v>
      </c>
      <c r="H189" s="45">
        <f>ROUND(F189*AE189,2)</f>
        <v>0</v>
      </c>
      <c r="I189" s="45">
        <f>J189-H189</f>
        <v>0</v>
      </c>
      <c r="J189" s="45">
        <f>ROUND(F189*G189,2)</f>
        <v>0</v>
      </c>
      <c r="K189" s="45">
        <v>0.0012</v>
      </c>
      <c r="L189" s="45">
        <f>F189*K189</f>
        <v>0.0012</v>
      </c>
      <c r="M189" s="46"/>
      <c r="N189" s="46" t="s">
        <v>60</v>
      </c>
      <c r="O189" s="45">
        <f>IF(N189="5",I189,0)</f>
        <v>0</v>
      </c>
      <c r="Z189" s="45">
        <f>IF(AD189=0,J189,0)</f>
        <v>0</v>
      </c>
      <c r="AA189" s="45">
        <f>IF(AD189=15,J189,0)</f>
        <v>0</v>
      </c>
      <c r="AB189" s="45">
        <f>IF(AD189=21,J189,0)</f>
        <v>0</v>
      </c>
      <c r="AD189" s="45">
        <v>21</v>
      </c>
      <c r="AE189" s="45">
        <f>G189*1</f>
        <v>0</v>
      </c>
      <c r="AF189" s="45">
        <f>G189*(1-1)</f>
        <v>0</v>
      </c>
    </row>
    <row r="190" spans="1:32" ht="12.75">
      <c r="A190" s="11" t="s">
        <v>472</v>
      </c>
      <c r="B190" s="11"/>
      <c r="C190" s="11" t="s">
        <v>473</v>
      </c>
      <c r="D190" s="11" t="s">
        <v>474</v>
      </c>
      <c r="E190" s="11" t="s">
        <v>100</v>
      </c>
      <c r="F190" s="45">
        <v>3</v>
      </c>
      <c r="H190" s="45">
        <f>ROUND(F190*AE190,2)</f>
        <v>0</v>
      </c>
      <c r="I190" s="45">
        <f>J190-H190</f>
        <v>0</v>
      </c>
      <c r="J190" s="45">
        <f>ROUND(F190*G190,2)</f>
        <v>0</v>
      </c>
      <c r="K190" s="45">
        <v>0.00043</v>
      </c>
      <c r="L190" s="45">
        <f>F190*K190</f>
        <v>0.00129</v>
      </c>
      <c r="M190" s="46"/>
      <c r="N190" s="46" t="s">
        <v>60</v>
      </c>
      <c r="O190" s="45">
        <f>IF(N190="5",I190,0)</f>
        <v>0</v>
      </c>
      <c r="Z190" s="45">
        <f>IF(AD190=0,J190,0)</f>
        <v>0</v>
      </c>
      <c r="AA190" s="45">
        <f>IF(AD190=15,J190,0)</f>
        <v>0</v>
      </c>
      <c r="AB190" s="45">
        <f>IF(AD190=21,J190,0)</f>
        <v>0</v>
      </c>
      <c r="AD190" s="45">
        <v>21</v>
      </c>
      <c r="AE190" s="45">
        <f>G190*1</f>
        <v>0</v>
      </c>
      <c r="AF190" s="45">
        <f>G190*(1-1)</f>
        <v>0</v>
      </c>
    </row>
    <row r="191" spans="1:37" ht="12.75">
      <c r="A191" s="39"/>
      <c r="B191" s="40"/>
      <c r="C191" s="40" t="s">
        <v>475</v>
      </c>
      <c r="D191" s="40" t="s">
        <v>476</v>
      </c>
      <c r="E191" s="40"/>
      <c r="F191" s="40"/>
      <c r="G191" s="40"/>
      <c r="H191" s="41">
        <f>SUM(H192:H192)</f>
        <v>0</v>
      </c>
      <c r="I191" s="41">
        <f>SUM(I192:I192)</f>
        <v>0</v>
      </c>
      <c r="J191" s="41">
        <f>H191+I191</f>
        <v>0</v>
      </c>
      <c r="K191" s="34"/>
      <c r="L191" s="41">
        <f>SUM(L192:L192)</f>
        <v>0</v>
      </c>
      <c r="M191" s="34"/>
      <c r="P191" s="41">
        <f>IF(Q191="PR",J191,SUM(O192:O192))</f>
        <v>0</v>
      </c>
      <c r="Q191" s="34" t="s">
        <v>452</v>
      </c>
      <c r="R191" s="41">
        <f>IF(Q191="HS",H191,0)</f>
        <v>0</v>
      </c>
      <c r="S191" s="41">
        <f>IF(Q191="HS",I191-P191,0)</f>
        <v>0</v>
      </c>
      <c r="T191" s="41">
        <f>IF(Q191="PS",H191,0)</f>
        <v>0</v>
      </c>
      <c r="U191" s="41">
        <f>IF(Q191="PS",I191-P191,0)</f>
        <v>0</v>
      </c>
      <c r="V191" s="41">
        <f>IF(Q191="MP",H191,0)</f>
        <v>0</v>
      </c>
      <c r="W191" s="41">
        <f>IF(Q191="MP",I191-P191,0)</f>
        <v>0</v>
      </c>
      <c r="X191" s="41">
        <f>IF(Q191="OM",H191,0)</f>
        <v>0</v>
      </c>
      <c r="Y191" s="34"/>
      <c r="AI191" s="41">
        <f>SUM(Z192:Z192)</f>
        <v>0</v>
      </c>
      <c r="AJ191" s="41">
        <f>SUM(AA192:AA192)</f>
        <v>0</v>
      </c>
      <c r="AK191" s="41">
        <f>SUM(AB192:AB192)</f>
        <v>0</v>
      </c>
    </row>
    <row r="192" spans="1:32" ht="12.75">
      <c r="A192" s="42" t="s">
        <v>477</v>
      </c>
      <c r="B192" s="42"/>
      <c r="C192" s="42" t="s">
        <v>478</v>
      </c>
      <c r="D192" s="42" t="s">
        <v>479</v>
      </c>
      <c r="E192" s="42" t="s">
        <v>100</v>
      </c>
      <c r="F192" s="43">
        <v>1.63</v>
      </c>
      <c r="H192" s="43">
        <f>ROUND(F192*AE192,2)</f>
        <v>0</v>
      </c>
      <c r="I192" s="43">
        <f>J192-H192</f>
        <v>0</v>
      </c>
      <c r="J192" s="43">
        <f>ROUND(F192*G192,2)</f>
        <v>0</v>
      </c>
      <c r="K192" s="43">
        <v>0</v>
      </c>
      <c r="L192" s="43">
        <f>F192*K192</f>
        <v>0</v>
      </c>
      <c r="M192" s="44"/>
      <c r="N192" s="44" t="s">
        <v>53</v>
      </c>
      <c r="O192" s="43">
        <f>IF(N192="5",I192,0)</f>
        <v>0</v>
      </c>
      <c r="Z192" s="43">
        <f>IF(AD192=0,J192,0)</f>
        <v>0</v>
      </c>
      <c r="AA192" s="43">
        <f>IF(AD192=15,J192,0)</f>
        <v>0</v>
      </c>
      <c r="AB192" s="43">
        <f>IF(AD192=21,J192,0)</f>
        <v>0</v>
      </c>
      <c r="AD192" s="45">
        <v>21</v>
      </c>
      <c r="AE192" s="45">
        <f>G192*0</f>
        <v>0</v>
      </c>
      <c r="AF192" s="45">
        <f>G192*(1-0)</f>
        <v>0</v>
      </c>
    </row>
    <row r="193" spans="1:37" ht="12.75">
      <c r="A193" s="39"/>
      <c r="B193" s="40"/>
      <c r="C193" s="40" t="s">
        <v>480</v>
      </c>
      <c r="D193" s="40" t="s">
        <v>481</v>
      </c>
      <c r="E193" s="40"/>
      <c r="F193" s="40"/>
      <c r="G193" s="40"/>
      <c r="H193" s="41">
        <f>SUM(H194:H201)</f>
        <v>0</v>
      </c>
      <c r="I193" s="41">
        <f>SUM(I194:I201)</f>
        <v>0</v>
      </c>
      <c r="J193" s="41">
        <f>H193+I193</f>
        <v>0</v>
      </c>
      <c r="K193" s="34"/>
      <c r="L193" s="41">
        <f>SUM(L194:L201)</f>
        <v>0</v>
      </c>
      <c r="M193" s="34"/>
      <c r="P193" s="41">
        <f>IF(Q193="PR",J193,SUM(O194:O201))</f>
        <v>0</v>
      </c>
      <c r="Q193" s="34" t="s">
        <v>482</v>
      </c>
      <c r="R193" s="41">
        <f>IF(Q193="HS",H193,0)</f>
        <v>0</v>
      </c>
      <c r="S193" s="41">
        <f>IF(Q193="HS",I193-P193,0)</f>
        <v>0</v>
      </c>
      <c r="T193" s="41">
        <f>IF(Q193="PS",H193,0)</f>
        <v>0</v>
      </c>
      <c r="U193" s="41">
        <f>IF(Q193="PS",I193-P193,0)</f>
        <v>0</v>
      </c>
      <c r="V193" s="41">
        <f>IF(Q193="MP",H193,0)</f>
        <v>0</v>
      </c>
      <c r="W193" s="41">
        <f>IF(Q193="MP",I193-P193,0)</f>
        <v>0</v>
      </c>
      <c r="X193" s="41">
        <f>IF(Q193="OM",H193,0)</f>
        <v>0</v>
      </c>
      <c r="Y193" s="34"/>
      <c r="AI193" s="41">
        <f>SUM(Z194:Z201)</f>
        <v>0</v>
      </c>
      <c r="AJ193" s="41">
        <f>SUM(AA194:AA201)</f>
        <v>0</v>
      </c>
      <c r="AK193" s="41">
        <f>SUM(AB194:AB201)</f>
        <v>0</v>
      </c>
    </row>
    <row r="194" spans="1:32" ht="12.75">
      <c r="A194" s="42" t="s">
        <v>483</v>
      </c>
      <c r="B194" s="42"/>
      <c r="C194" s="42" t="s">
        <v>484</v>
      </c>
      <c r="D194" s="42" t="s">
        <v>485</v>
      </c>
      <c r="E194" s="42" t="s">
        <v>64</v>
      </c>
      <c r="F194" s="43">
        <v>23.14</v>
      </c>
      <c r="H194" s="43">
        <f>ROUND(F194*AE194,2)</f>
        <v>0</v>
      </c>
      <c r="I194" s="43">
        <f>J194-H194</f>
        <v>0</v>
      </c>
      <c r="J194" s="43">
        <f>ROUND(F194*G194,2)</f>
        <v>0</v>
      </c>
      <c r="K194" s="43">
        <v>0</v>
      </c>
      <c r="L194" s="43">
        <f>F194*K194</f>
        <v>0</v>
      </c>
      <c r="M194" s="44" t="s">
        <v>52</v>
      </c>
      <c r="N194" s="44" t="s">
        <v>65</v>
      </c>
      <c r="O194" s="43">
        <f>IF(N194="5",I194,0)</f>
        <v>0</v>
      </c>
      <c r="Z194" s="43">
        <f>IF(AD194=0,J194,0)</f>
        <v>0</v>
      </c>
      <c r="AA194" s="43">
        <f>IF(AD194=15,J194,0)</f>
        <v>0</v>
      </c>
      <c r="AB194" s="43">
        <f>IF(AD194=21,J194,0)</f>
        <v>0</v>
      </c>
      <c r="AD194" s="45">
        <v>21</v>
      </c>
      <c r="AE194" s="45">
        <f>G194*0</f>
        <v>0</v>
      </c>
      <c r="AF194" s="45">
        <f>G194*(1-0)</f>
        <v>0</v>
      </c>
    </row>
    <row r="195" spans="1:32" ht="12.75">
      <c r="A195" s="42" t="s">
        <v>486</v>
      </c>
      <c r="B195" s="42"/>
      <c r="C195" s="42" t="s">
        <v>487</v>
      </c>
      <c r="D195" s="42" t="s">
        <v>488</v>
      </c>
      <c r="E195" s="42" t="s">
        <v>64</v>
      </c>
      <c r="F195" s="43">
        <v>23.14</v>
      </c>
      <c r="H195" s="43">
        <f>ROUND(F195*AE195,2)</f>
        <v>0</v>
      </c>
      <c r="I195" s="43">
        <f>J195-H195</f>
        <v>0</v>
      </c>
      <c r="J195" s="43">
        <f>ROUND(F195*G195,2)</f>
        <v>0</v>
      </c>
      <c r="K195" s="43">
        <v>0</v>
      </c>
      <c r="L195" s="43">
        <f>F195*K195</f>
        <v>0</v>
      </c>
      <c r="M195" s="44" t="s">
        <v>52</v>
      </c>
      <c r="N195" s="44" t="s">
        <v>65</v>
      </c>
      <c r="O195" s="43">
        <f>IF(N195="5",I195,0)</f>
        <v>0</v>
      </c>
      <c r="Z195" s="43">
        <f>IF(AD195=0,J195,0)</f>
        <v>0</v>
      </c>
      <c r="AA195" s="43">
        <f>IF(AD195=15,J195,0)</f>
        <v>0</v>
      </c>
      <c r="AB195" s="43">
        <f>IF(AD195=21,J195,0)</f>
        <v>0</v>
      </c>
      <c r="AD195" s="45">
        <v>21</v>
      </c>
      <c r="AE195" s="45">
        <f>G195*0</f>
        <v>0</v>
      </c>
      <c r="AF195" s="45">
        <f>G195*(1-0)</f>
        <v>0</v>
      </c>
    </row>
    <row r="196" spans="1:32" ht="12.75">
      <c r="A196" s="42" t="s">
        <v>489</v>
      </c>
      <c r="B196" s="42"/>
      <c r="C196" s="42" t="s">
        <v>490</v>
      </c>
      <c r="D196" s="42" t="s">
        <v>491</v>
      </c>
      <c r="E196" s="42" t="s">
        <v>64</v>
      </c>
      <c r="F196" s="43">
        <v>23.14</v>
      </c>
      <c r="H196" s="43">
        <f>ROUND(F196*AE196,2)</f>
        <v>0</v>
      </c>
      <c r="I196" s="43">
        <f>J196-H196</f>
        <v>0</v>
      </c>
      <c r="J196" s="43">
        <f>ROUND(F196*G196,2)</f>
        <v>0</v>
      </c>
      <c r="K196" s="43">
        <v>0</v>
      </c>
      <c r="L196" s="43">
        <f>F196*K196</f>
        <v>0</v>
      </c>
      <c r="M196" s="44" t="s">
        <v>52</v>
      </c>
      <c r="N196" s="44" t="s">
        <v>65</v>
      </c>
      <c r="O196" s="43">
        <f>IF(N196="5",I196,0)</f>
        <v>0</v>
      </c>
      <c r="Z196" s="43">
        <f>IF(AD196=0,J196,0)</f>
        <v>0</v>
      </c>
      <c r="AA196" s="43">
        <f>IF(AD196=15,J196,0)</f>
        <v>0</v>
      </c>
      <c r="AB196" s="43">
        <f>IF(AD196=21,J196,0)</f>
        <v>0</v>
      </c>
      <c r="AD196" s="45">
        <v>21</v>
      </c>
      <c r="AE196" s="45">
        <f>G196*0</f>
        <v>0</v>
      </c>
      <c r="AF196" s="45">
        <f>G196*(1-0)</f>
        <v>0</v>
      </c>
    </row>
    <row r="197" spans="1:32" ht="12.75">
      <c r="A197" s="42" t="s">
        <v>492</v>
      </c>
      <c r="B197" s="42"/>
      <c r="C197" s="42" t="s">
        <v>493</v>
      </c>
      <c r="D197" s="42" t="s">
        <v>494</v>
      </c>
      <c r="E197" s="42" t="s">
        <v>64</v>
      </c>
      <c r="F197" s="43">
        <v>8.55</v>
      </c>
      <c r="H197" s="43">
        <f>ROUND(F197*AE197,2)</f>
        <v>0</v>
      </c>
      <c r="I197" s="43">
        <f>J197-H197</f>
        <v>0</v>
      </c>
      <c r="J197" s="43">
        <f>ROUND(F197*G197,2)</f>
        <v>0</v>
      </c>
      <c r="K197" s="43">
        <v>0</v>
      </c>
      <c r="L197" s="43">
        <f>F197*K197</f>
        <v>0</v>
      </c>
      <c r="M197" s="44" t="s">
        <v>52</v>
      </c>
      <c r="N197" s="44" t="s">
        <v>65</v>
      </c>
      <c r="O197" s="43">
        <f>IF(N197="5",I197,0)</f>
        <v>0</v>
      </c>
      <c r="Z197" s="43">
        <f>IF(AD197=0,J197,0)</f>
        <v>0</v>
      </c>
      <c r="AA197" s="43">
        <f>IF(AD197=15,J197,0)</f>
        <v>0</v>
      </c>
      <c r="AB197" s="43">
        <f>IF(AD197=21,J197,0)</f>
        <v>0</v>
      </c>
      <c r="AD197" s="45">
        <v>21</v>
      </c>
      <c r="AE197" s="45">
        <f>G197*0</f>
        <v>0</v>
      </c>
      <c r="AF197" s="45">
        <f>G197*(1-0)</f>
        <v>0</v>
      </c>
    </row>
    <row r="198" spans="1:32" ht="12.75">
      <c r="A198" s="42" t="s">
        <v>495</v>
      </c>
      <c r="B198" s="42"/>
      <c r="C198" s="42" t="s">
        <v>496</v>
      </c>
      <c r="D198" s="42" t="s">
        <v>497</v>
      </c>
      <c r="E198" s="42" t="s">
        <v>64</v>
      </c>
      <c r="F198" s="43">
        <v>14.59</v>
      </c>
      <c r="H198" s="43">
        <f>ROUND(F198*AE198,2)</f>
        <v>0</v>
      </c>
      <c r="I198" s="43">
        <f>J198-H198</f>
        <v>0</v>
      </c>
      <c r="J198" s="43">
        <f>ROUND(F198*G198,2)</f>
        <v>0</v>
      </c>
      <c r="K198" s="43">
        <v>0</v>
      </c>
      <c r="L198" s="43">
        <f>F198*K198</f>
        <v>0</v>
      </c>
      <c r="M198" s="44" t="s">
        <v>52</v>
      </c>
      <c r="N198" s="44" t="s">
        <v>65</v>
      </c>
      <c r="O198" s="43">
        <f>IF(N198="5",I198,0)</f>
        <v>0</v>
      </c>
      <c r="Z198" s="43">
        <f>IF(AD198=0,J198,0)</f>
        <v>0</v>
      </c>
      <c r="AA198" s="43">
        <f>IF(AD198=15,J198,0)</f>
        <v>0</v>
      </c>
      <c r="AB198" s="43">
        <f>IF(AD198=21,J198,0)</f>
        <v>0</v>
      </c>
      <c r="AD198" s="45">
        <v>21</v>
      </c>
      <c r="AE198" s="45">
        <f>G198*0</f>
        <v>0</v>
      </c>
      <c r="AF198" s="45">
        <f>G198*(1-0)</f>
        <v>0</v>
      </c>
    </row>
    <row r="199" spans="1:32" ht="12.75">
      <c r="A199" s="42" t="s">
        <v>498</v>
      </c>
      <c r="B199" s="42"/>
      <c r="C199" s="42" t="s">
        <v>499</v>
      </c>
      <c r="D199" s="42" t="s">
        <v>500</v>
      </c>
      <c r="E199" s="42" t="s">
        <v>64</v>
      </c>
      <c r="F199" s="43">
        <v>14.59</v>
      </c>
      <c r="H199" s="43">
        <f>ROUND(F199*AE199,2)</f>
        <v>0</v>
      </c>
      <c r="I199" s="43">
        <f>J199-H199</f>
        <v>0</v>
      </c>
      <c r="J199" s="43">
        <f>ROUND(F199*G199,2)</f>
        <v>0</v>
      </c>
      <c r="K199" s="43">
        <v>0</v>
      </c>
      <c r="L199" s="43">
        <f>F199*K199</f>
        <v>0</v>
      </c>
      <c r="M199" s="44" t="s">
        <v>52</v>
      </c>
      <c r="N199" s="44" t="s">
        <v>65</v>
      </c>
      <c r="O199" s="43">
        <f>IF(N199="5",I199,0)</f>
        <v>0</v>
      </c>
      <c r="Z199" s="43">
        <f>IF(AD199=0,J199,0)</f>
        <v>0</v>
      </c>
      <c r="AA199" s="43">
        <f>IF(AD199=15,J199,0)</f>
        <v>0</v>
      </c>
      <c r="AB199" s="43">
        <f>IF(AD199=21,J199,0)</f>
        <v>0</v>
      </c>
      <c r="AD199" s="45">
        <v>21</v>
      </c>
      <c r="AE199" s="45">
        <f>G199*0</f>
        <v>0</v>
      </c>
      <c r="AF199" s="45">
        <f>G199*(1-0)</f>
        <v>0</v>
      </c>
    </row>
    <row r="200" spans="1:32" ht="12.75">
      <c r="A200" s="42" t="s">
        <v>501</v>
      </c>
      <c r="B200" s="42"/>
      <c r="C200" s="42" t="s">
        <v>502</v>
      </c>
      <c r="D200" s="42" t="s">
        <v>503</v>
      </c>
      <c r="E200" s="42" t="s">
        <v>64</v>
      </c>
      <c r="F200" s="43">
        <v>7.79</v>
      </c>
      <c r="H200" s="43">
        <f>ROUND(F200*AE200,2)</f>
        <v>0</v>
      </c>
      <c r="I200" s="43">
        <f>J200-H200</f>
        <v>0</v>
      </c>
      <c r="J200" s="43">
        <f>ROUND(F200*G200,2)</f>
        <v>0</v>
      </c>
      <c r="K200" s="43">
        <v>0</v>
      </c>
      <c r="L200" s="43">
        <f>F200*K200</f>
        <v>0</v>
      </c>
      <c r="M200" s="44" t="s">
        <v>52</v>
      </c>
      <c r="N200" s="44" t="s">
        <v>65</v>
      </c>
      <c r="O200" s="43">
        <f>IF(N200="5",I200,0)</f>
        <v>0</v>
      </c>
      <c r="Z200" s="43">
        <f>IF(AD200=0,J200,0)</f>
        <v>0</v>
      </c>
      <c r="AA200" s="43">
        <f>IF(AD200=15,J200,0)</f>
        <v>0</v>
      </c>
      <c r="AB200" s="43">
        <f>IF(AD200=21,J200,0)</f>
        <v>0</v>
      </c>
      <c r="AD200" s="45">
        <v>21</v>
      </c>
      <c r="AE200" s="45">
        <f>G200*0</f>
        <v>0</v>
      </c>
      <c r="AF200" s="45">
        <f>G200*(1-0)</f>
        <v>0</v>
      </c>
    </row>
    <row r="201" spans="1:32" ht="12.75">
      <c r="A201" s="47" t="s">
        <v>504</v>
      </c>
      <c r="B201" s="47"/>
      <c r="C201" s="47" t="s">
        <v>505</v>
      </c>
      <c r="D201" s="47" t="s">
        <v>506</v>
      </c>
      <c r="E201" s="47" t="s">
        <v>64</v>
      </c>
      <c r="F201" s="48">
        <v>0.09</v>
      </c>
      <c r="G201" s="49"/>
      <c r="H201" s="48">
        <f>ROUND(F201*AE201,2)</f>
        <v>0</v>
      </c>
      <c r="I201" s="48">
        <f>J201-H201</f>
        <v>0</v>
      </c>
      <c r="J201" s="48">
        <f>ROUND(F201*G201,2)</f>
        <v>0</v>
      </c>
      <c r="K201" s="48">
        <v>0</v>
      </c>
      <c r="L201" s="48">
        <f>F201*K201</f>
        <v>0</v>
      </c>
      <c r="M201" s="50" t="s">
        <v>52</v>
      </c>
      <c r="N201" s="44" t="s">
        <v>65</v>
      </c>
      <c r="O201" s="43">
        <f>IF(N201="5",I201,0)</f>
        <v>0</v>
      </c>
      <c r="Z201" s="43">
        <f>IF(AD201=0,J201,0)</f>
        <v>0</v>
      </c>
      <c r="AA201" s="43">
        <f>IF(AD201=15,J201,0)</f>
        <v>0</v>
      </c>
      <c r="AB201" s="43">
        <f>IF(AD201=21,J201,0)</f>
        <v>0</v>
      </c>
      <c r="AD201" s="45">
        <v>21</v>
      </c>
      <c r="AE201" s="45">
        <f>G201*0</f>
        <v>0</v>
      </c>
      <c r="AF201" s="45">
        <f>G201*(1-0)</f>
        <v>0</v>
      </c>
    </row>
    <row r="202" spans="1:28" ht="12.75">
      <c r="A202" s="51"/>
      <c r="B202" s="51"/>
      <c r="C202" s="51"/>
      <c r="D202" s="51"/>
      <c r="E202" s="51"/>
      <c r="F202" s="51"/>
      <c r="G202" s="51"/>
      <c r="H202" s="52" t="s">
        <v>507</v>
      </c>
      <c r="I202" s="52"/>
      <c r="J202" s="53">
        <f>J13+J18+J23+J31+J34+J45+J72+J93+J97+J111+J117+J127+J130+J147+J153+J155+J174+J179+J182+J191+J193</f>
        <v>0</v>
      </c>
      <c r="K202" s="51"/>
      <c r="L202" s="51"/>
      <c r="M202" s="51"/>
      <c r="Z202" s="54">
        <f>SUM(Z13:Z201)</f>
        <v>0</v>
      </c>
      <c r="AA202" s="54">
        <f>SUM(AA13:AA201)</f>
        <v>0</v>
      </c>
      <c r="AB202" s="54">
        <f>SUM(AB13:AB201)</f>
        <v>0</v>
      </c>
    </row>
    <row r="203" ht="11.25" customHeight="1">
      <c r="A203" s="55" t="s">
        <v>508</v>
      </c>
    </row>
    <row r="204" spans="1:13" ht="12.75" customHeight="1">
      <c r="A204" s="10" t="s">
        <v>509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</sheetData>
  <sheetProtection selectLockedCells="1" selectUnlockedCells="1"/>
  <mergeCells count="51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3:G13"/>
    <mergeCell ref="D18:G18"/>
    <mergeCell ref="D23:G23"/>
    <mergeCell ref="D31:G31"/>
    <mergeCell ref="D34:G34"/>
    <mergeCell ref="D45:G45"/>
    <mergeCell ref="D72:G72"/>
    <mergeCell ref="D93:G93"/>
    <mergeCell ref="D97:G97"/>
    <mergeCell ref="D111:G111"/>
    <mergeCell ref="D117:G117"/>
    <mergeCell ref="D127:G127"/>
    <mergeCell ref="D130:G130"/>
    <mergeCell ref="D147:G147"/>
    <mergeCell ref="D153:G153"/>
    <mergeCell ref="D155:G155"/>
    <mergeCell ref="D174:G174"/>
    <mergeCell ref="D179:G179"/>
    <mergeCell ref="D182:G182"/>
    <mergeCell ref="D191:G191"/>
    <mergeCell ref="D193:G193"/>
    <mergeCell ref="H202:I202"/>
    <mergeCell ref="A204:M204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11.421875" defaultRowHeight="12.75"/>
  <cols>
    <col min="1" max="2" width="16.57421875" style="1" customWidth="1"/>
    <col min="3" max="3" width="41.7109375" style="1" customWidth="1"/>
    <col min="4" max="4" width="22.140625" style="1" customWidth="1"/>
    <col min="5" max="5" width="21.00390625" style="1" customWidth="1"/>
    <col min="6" max="6" width="20.8515625" style="1" customWidth="1"/>
    <col min="7" max="7" width="19.7109375" style="1" customWidth="1"/>
    <col min="8" max="9" width="0" style="1" hidden="1" customWidth="1"/>
    <col min="10" max="16384" width="11.57421875" style="0" customWidth="1"/>
  </cols>
  <sheetData>
    <row r="1" spans="1:7" ht="21.75" customHeight="1">
      <c r="A1" s="2" t="s">
        <v>510</v>
      </c>
      <c r="B1" s="2"/>
      <c r="C1" s="2"/>
      <c r="D1" s="2"/>
      <c r="E1" s="2"/>
      <c r="F1" s="2"/>
      <c r="G1" s="49"/>
    </row>
    <row r="2" spans="1:8" ht="12.75" customHeight="1">
      <c r="A2" s="3" t="s">
        <v>1</v>
      </c>
      <c r="B2" s="4" t="s">
        <v>2</v>
      </c>
      <c r="C2" s="4"/>
      <c r="D2" s="6" t="s">
        <v>4</v>
      </c>
      <c r="E2" s="7" t="s">
        <v>5</v>
      </c>
      <c r="F2" s="7"/>
      <c r="G2" s="7"/>
      <c r="H2" s="8"/>
    </row>
    <row r="3" spans="1:8" ht="12.75">
      <c r="A3" s="3"/>
      <c r="B3" s="4"/>
      <c r="C3" s="4"/>
      <c r="D3" s="6"/>
      <c r="E3" s="6"/>
      <c r="F3" s="7"/>
      <c r="G3" s="7"/>
      <c r="H3" s="8"/>
    </row>
    <row r="4" spans="1:8" ht="12.75" customHeight="1">
      <c r="A4" s="9" t="s">
        <v>6</v>
      </c>
      <c r="B4" s="10"/>
      <c r="C4" s="10"/>
      <c r="D4" s="10" t="s">
        <v>9</v>
      </c>
      <c r="E4" s="12" t="s">
        <v>10</v>
      </c>
      <c r="F4" s="12"/>
      <c r="G4" s="12"/>
      <c r="H4" s="8"/>
    </row>
    <row r="5" spans="1:8" ht="12.75">
      <c r="A5" s="9"/>
      <c r="B5" s="10"/>
      <c r="C5" s="10"/>
      <c r="D5" s="10"/>
      <c r="E5" s="10"/>
      <c r="F5" s="12"/>
      <c r="G5" s="12"/>
      <c r="H5" s="8"/>
    </row>
    <row r="6" spans="1:8" ht="12.75" customHeight="1">
      <c r="A6" s="9" t="s">
        <v>11</v>
      </c>
      <c r="B6" s="10" t="s">
        <v>12</v>
      </c>
      <c r="C6" s="10"/>
      <c r="D6" s="10" t="s">
        <v>14</v>
      </c>
      <c r="E6" s="12"/>
      <c r="F6" s="12"/>
      <c r="G6" s="12"/>
      <c r="H6" s="8"/>
    </row>
    <row r="7" spans="1:8" ht="12.75">
      <c r="A7" s="9"/>
      <c r="B7" s="10"/>
      <c r="C7" s="10"/>
      <c r="D7" s="10"/>
      <c r="E7" s="10"/>
      <c r="F7" s="12"/>
      <c r="G7" s="12"/>
      <c r="H7" s="8"/>
    </row>
    <row r="8" spans="1:8" ht="12.75" customHeight="1">
      <c r="A8" s="14" t="s">
        <v>17</v>
      </c>
      <c r="B8" s="15" t="s">
        <v>18</v>
      </c>
      <c r="C8" s="15"/>
      <c r="D8" s="16" t="s">
        <v>16</v>
      </c>
      <c r="E8" s="56">
        <v>41571</v>
      </c>
      <c r="F8" s="56"/>
      <c r="G8" s="56"/>
      <c r="H8" s="8"/>
    </row>
    <row r="9" spans="1:8" ht="12.75">
      <c r="A9" s="14"/>
      <c r="B9" s="15"/>
      <c r="C9" s="15"/>
      <c r="D9" s="16"/>
      <c r="E9" s="16"/>
      <c r="F9" s="56"/>
      <c r="G9" s="56"/>
      <c r="H9" s="8"/>
    </row>
    <row r="10" spans="1:8" ht="12.75">
      <c r="A10" s="57" t="s">
        <v>20</v>
      </c>
      <c r="B10" s="58" t="s">
        <v>21</v>
      </c>
      <c r="C10" s="59" t="s">
        <v>511</v>
      </c>
      <c r="D10" s="60" t="s">
        <v>512</v>
      </c>
      <c r="E10" s="60" t="s">
        <v>513</v>
      </c>
      <c r="F10" s="60" t="s">
        <v>514</v>
      </c>
      <c r="G10" s="61" t="s">
        <v>515</v>
      </c>
      <c r="H10" s="25"/>
    </row>
    <row r="11" spans="1:9" ht="12.75">
      <c r="A11" s="62"/>
      <c r="B11" s="62"/>
      <c r="C11" s="62" t="s">
        <v>44</v>
      </c>
      <c r="D11" s="63"/>
      <c r="E11" s="63"/>
      <c r="F11" s="64">
        <f>D11+E11</f>
        <v>0</v>
      </c>
      <c r="G11" s="64">
        <v>35.34816</v>
      </c>
      <c r="H11" s="45" t="s">
        <v>59</v>
      </c>
      <c r="I11" s="45">
        <f>IF(H11="T",0,F11)</f>
        <v>0</v>
      </c>
    </row>
    <row r="12" spans="1:9" ht="12.75">
      <c r="A12" s="11"/>
      <c r="B12" s="11" t="s">
        <v>45</v>
      </c>
      <c r="C12" s="11" t="s">
        <v>46</v>
      </c>
      <c r="F12" s="45">
        <f>D12+E12</f>
        <v>0</v>
      </c>
      <c r="G12" s="45">
        <v>4.17566</v>
      </c>
      <c r="H12" s="45" t="s">
        <v>516</v>
      </c>
      <c r="I12" s="45">
        <f>IF(H12="T",0,F12)</f>
        <v>0</v>
      </c>
    </row>
    <row r="13" spans="1:9" ht="12.75">
      <c r="A13" s="11"/>
      <c r="B13" s="11" t="s">
        <v>66</v>
      </c>
      <c r="C13" s="11" t="s">
        <v>67</v>
      </c>
      <c r="F13" s="45">
        <f>D13+E13</f>
        <v>0</v>
      </c>
      <c r="G13" s="45">
        <v>0.01956</v>
      </c>
      <c r="H13" s="45" t="s">
        <v>516</v>
      </c>
      <c r="I13" s="45">
        <f>IF(H13="T",0,F13)</f>
        <v>0</v>
      </c>
    </row>
    <row r="14" spans="1:9" ht="12.75">
      <c r="A14" s="11"/>
      <c r="B14" s="11" t="s">
        <v>75</v>
      </c>
      <c r="C14" s="11" t="s">
        <v>76</v>
      </c>
      <c r="F14" s="45">
        <f>D14+E14</f>
        <v>0</v>
      </c>
      <c r="G14" s="45">
        <v>1.51741</v>
      </c>
      <c r="H14" s="45" t="s">
        <v>516</v>
      </c>
      <c r="I14" s="45">
        <f>IF(H14="T",0,F14)</f>
        <v>0</v>
      </c>
    </row>
    <row r="15" spans="1:9" ht="12.75">
      <c r="A15" s="11"/>
      <c r="B15" s="11" t="s">
        <v>89</v>
      </c>
      <c r="C15" s="11" t="s">
        <v>90</v>
      </c>
      <c r="F15" s="45">
        <f>D15+E15</f>
        <v>0</v>
      </c>
      <c r="G15" s="45">
        <v>0.06989</v>
      </c>
      <c r="H15" s="45" t="s">
        <v>516</v>
      </c>
      <c r="I15" s="45">
        <f>IF(H15="T",0,F15)</f>
        <v>0</v>
      </c>
    </row>
    <row r="16" spans="1:9" ht="12.75">
      <c r="A16" s="11"/>
      <c r="B16" s="11" t="s">
        <v>95</v>
      </c>
      <c r="C16" s="11" t="s">
        <v>96</v>
      </c>
      <c r="F16" s="45">
        <f>D16+E16</f>
        <v>0</v>
      </c>
      <c r="G16" s="45">
        <v>1.70688</v>
      </c>
      <c r="H16" s="45" t="s">
        <v>516</v>
      </c>
      <c r="I16" s="45">
        <f>IF(H16="T",0,F16)</f>
        <v>0</v>
      </c>
    </row>
    <row r="17" spans="1:9" ht="12.75">
      <c r="A17" s="11"/>
      <c r="B17" s="11" t="s">
        <v>124</v>
      </c>
      <c r="C17" s="11" t="s">
        <v>125</v>
      </c>
      <c r="F17" s="45">
        <f>D17+E17</f>
        <v>0</v>
      </c>
      <c r="G17" s="45">
        <v>0.0589</v>
      </c>
      <c r="H17" s="45" t="s">
        <v>516</v>
      </c>
      <c r="I17" s="45">
        <f>IF(H17="T",0,F17)</f>
        <v>0</v>
      </c>
    </row>
    <row r="18" spans="1:9" ht="12.75">
      <c r="A18" s="11"/>
      <c r="B18" s="11" t="s">
        <v>188</v>
      </c>
      <c r="C18" s="11" t="s">
        <v>189</v>
      </c>
      <c r="F18" s="45">
        <f>D18+E18</f>
        <v>0</v>
      </c>
      <c r="G18" s="45">
        <v>7.6413</v>
      </c>
      <c r="H18" s="45" t="s">
        <v>516</v>
      </c>
      <c r="I18" s="45">
        <f>IF(H18="T",0,F18)</f>
        <v>0</v>
      </c>
    </row>
    <row r="19" spans="1:9" ht="12.75">
      <c r="A19" s="11"/>
      <c r="B19" s="11" t="s">
        <v>242</v>
      </c>
      <c r="C19" s="11" t="s">
        <v>243</v>
      </c>
      <c r="F19" s="45">
        <f>D19+E19</f>
        <v>0</v>
      </c>
      <c r="G19" s="45">
        <v>0.047</v>
      </c>
      <c r="H19" s="45" t="s">
        <v>516</v>
      </c>
      <c r="I19" s="45">
        <f>IF(H19="T",0,F19)</f>
        <v>0</v>
      </c>
    </row>
    <row r="20" spans="1:9" ht="12.75">
      <c r="A20" s="11"/>
      <c r="B20" s="11" t="s">
        <v>253</v>
      </c>
      <c r="C20" s="11" t="s">
        <v>254</v>
      </c>
      <c r="F20" s="45">
        <f>D20+E20</f>
        <v>0</v>
      </c>
      <c r="G20" s="45">
        <v>0.74074</v>
      </c>
      <c r="H20" s="45" t="s">
        <v>516</v>
      </c>
      <c r="I20" s="45">
        <f>IF(H20="T",0,F20)</f>
        <v>0</v>
      </c>
    </row>
    <row r="21" spans="1:9" ht="12.75">
      <c r="A21" s="11"/>
      <c r="B21" s="11" t="s">
        <v>287</v>
      </c>
      <c r="C21" s="11" t="s">
        <v>288</v>
      </c>
      <c r="F21" s="45">
        <f>D21+E21</f>
        <v>0</v>
      </c>
      <c r="G21" s="45">
        <v>0.19034</v>
      </c>
      <c r="H21" s="45" t="s">
        <v>516</v>
      </c>
      <c r="I21" s="45">
        <f>IF(H21="T",0,F21)</f>
        <v>0</v>
      </c>
    </row>
    <row r="22" spans="1:9" ht="12.75">
      <c r="A22" s="11"/>
      <c r="B22" s="11" t="s">
        <v>300</v>
      </c>
      <c r="C22" s="11" t="s">
        <v>301</v>
      </c>
      <c r="F22" s="45">
        <f>D22+E22</f>
        <v>0</v>
      </c>
      <c r="G22" s="45">
        <v>0.30036</v>
      </c>
      <c r="H22" s="45" t="s">
        <v>516</v>
      </c>
      <c r="I22" s="45">
        <f>IF(H22="T",0,F22)</f>
        <v>0</v>
      </c>
    </row>
    <row r="23" spans="1:9" ht="12.75">
      <c r="A23" s="11"/>
      <c r="B23" s="11" t="s">
        <v>325</v>
      </c>
      <c r="C23" s="11" t="s">
        <v>326</v>
      </c>
      <c r="F23" s="45">
        <f>D23+E23</f>
        <v>0</v>
      </c>
      <c r="G23" s="45">
        <v>0.0887</v>
      </c>
      <c r="H23" s="45" t="s">
        <v>516</v>
      </c>
      <c r="I23" s="45">
        <f>IF(H23="T",0,F23)</f>
        <v>0</v>
      </c>
    </row>
    <row r="24" spans="1:9" ht="12.75">
      <c r="A24" s="11"/>
      <c r="B24" s="11" t="s">
        <v>331</v>
      </c>
      <c r="C24" s="11" t="s">
        <v>332</v>
      </c>
      <c r="F24" s="45">
        <f>D24+E24</f>
        <v>0</v>
      </c>
      <c r="G24" s="45">
        <v>1.93652</v>
      </c>
      <c r="H24" s="45" t="s">
        <v>516</v>
      </c>
      <c r="I24" s="45">
        <f>IF(H24="T",0,F24)</f>
        <v>0</v>
      </c>
    </row>
    <row r="25" spans="1:9" ht="12.75">
      <c r="A25" s="11"/>
      <c r="B25" s="11" t="s">
        <v>366</v>
      </c>
      <c r="C25" s="11" t="s">
        <v>367</v>
      </c>
      <c r="F25" s="45">
        <f>D25+E25</f>
        <v>0</v>
      </c>
      <c r="G25" s="45">
        <v>0.04806</v>
      </c>
      <c r="H25" s="45" t="s">
        <v>516</v>
      </c>
      <c r="I25" s="45">
        <f>IF(H25="T",0,F25)</f>
        <v>0</v>
      </c>
    </row>
    <row r="26" spans="1:9" ht="12.75">
      <c r="A26" s="11"/>
      <c r="B26" s="11" t="s">
        <v>379</v>
      </c>
      <c r="C26" s="11" t="s">
        <v>380</v>
      </c>
      <c r="F26" s="45">
        <f>D26+E26</f>
        <v>0</v>
      </c>
      <c r="G26" s="45">
        <v>0.52994</v>
      </c>
      <c r="H26" s="45" t="s">
        <v>516</v>
      </c>
      <c r="I26" s="45">
        <f>IF(H26="T",0,F26)</f>
        <v>0</v>
      </c>
    </row>
    <row r="27" spans="1:9" ht="12.75">
      <c r="A27" s="11"/>
      <c r="B27" s="11" t="s">
        <v>363</v>
      </c>
      <c r="C27" s="11" t="s">
        <v>384</v>
      </c>
      <c r="F27" s="45">
        <f>D27+E27</f>
        <v>0</v>
      </c>
      <c r="G27" s="45">
        <v>14.00819</v>
      </c>
      <c r="H27" s="45" t="s">
        <v>516</v>
      </c>
      <c r="I27" s="45">
        <f>IF(H27="T",0,F27)</f>
        <v>0</v>
      </c>
    </row>
    <row r="28" spans="1:9" ht="12.75">
      <c r="A28" s="11"/>
      <c r="B28" s="11" t="s">
        <v>368</v>
      </c>
      <c r="C28" s="11" t="s">
        <v>434</v>
      </c>
      <c r="F28" s="45">
        <f>D28+E28</f>
        <v>0</v>
      </c>
      <c r="G28" s="45">
        <v>2.24982</v>
      </c>
      <c r="H28" s="45" t="s">
        <v>516</v>
      </c>
      <c r="I28" s="45">
        <f>IF(H28="T",0,F28)</f>
        <v>0</v>
      </c>
    </row>
    <row r="29" spans="1:9" ht="12.75">
      <c r="A29" s="11"/>
      <c r="B29" s="11" t="s">
        <v>443</v>
      </c>
      <c r="C29" s="11" t="s">
        <v>444</v>
      </c>
      <c r="F29" s="45">
        <f>D29+E29</f>
        <v>0</v>
      </c>
      <c r="G29" s="45">
        <v>0</v>
      </c>
      <c r="H29" s="45" t="s">
        <v>516</v>
      </c>
      <c r="I29" s="45">
        <f>IF(H29="T",0,F29)</f>
        <v>0</v>
      </c>
    </row>
    <row r="30" spans="1:9" ht="12.75">
      <c r="A30" s="11"/>
      <c r="B30" s="11" t="s">
        <v>450</v>
      </c>
      <c r="C30" s="11" t="s">
        <v>451</v>
      </c>
      <c r="F30" s="45">
        <f>D30+E30</f>
        <v>0</v>
      </c>
      <c r="G30" s="45">
        <v>0.01889</v>
      </c>
      <c r="H30" s="45" t="s">
        <v>516</v>
      </c>
      <c r="I30" s="45">
        <f>IF(H30="T",0,F30)</f>
        <v>0</v>
      </c>
    </row>
    <row r="31" spans="1:9" ht="12.75">
      <c r="A31" s="11"/>
      <c r="B31" s="11" t="s">
        <v>475</v>
      </c>
      <c r="C31" s="11" t="s">
        <v>476</v>
      </c>
      <c r="F31" s="45">
        <f>D31+E31</f>
        <v>0</v>
      </c>
      <c r="G31" s="45">
        <v>0</v>
      </c>
      <c r="H31" s="45" t="s">
        <v>516</v>
      </c>
      <c r="I31" s="45">
        <f>IF(H31="T",0,F31)</f>
        <v>0</v>
      </c>
    </row>
    <row r="32" spans="1:9" ht="12.75">
      <c r="A32" s="11"/>
      <c r="B32" s="11" t="s">
        <v>480</v>
      </c>
      <c r="C32" s="11" t="s">
        <v>481</v>
      </c>
      <c r="F32" s="45">
        <f>D32+E32</f>
        <v>0</v>
      </c>
      <c r="G32" s="45">
        <v>0</v>
      </c>
      <c r="H32" s="45" t="s">
        <v>516</v>
      </c>
      <c r="I32" s="45">
        <f>IF(H32="T",0,F32)</f>
        <v>0</v>
      </c>
    </row>
    <row r="34" spans="5:6" ht="12.75">
      <c r="E34" s="65" t="s">
        <v>507</v>
      </c>
      <c r="F34" s="54">
        <f>SUM(I11:I32)</f>
        <v>0</v>
      </c>
    </row>
  </sheetData>
  <sheetProtection selectLockedCells="1" selectUnlockedCells="1"/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2"/>
  <sheetViews>
    <sheetView workbookViewId="0" topLeftCell="A1">
      <selection activeCell="L11" sqref="L11"/>
    </sheetView>
  </sheetViews>
  <sheetFormatPr defaultColWidth="11.421875" defaultRowHeight="12.75"/>
  <cols>
    <col min="1" max="2" width="9.140625" style="1" customWidth="1"/>
    <col min="3" max="3" width="13.28125" style="1" customWidth="1"/>
    <col min="4" max="4" width="69.421875" style="1" customWidth="1"/>
    <col min="5" max="5" width="14.421875" style="1" customWidth="1"/>
    <col min="6" max="6" width="40.57421875" style="66" customWidth="1"/>
    <col min="7" max="7" width="9.00390625" style="1" customWidth="1"/>
    <col min="8" max="8" width="16.421875" style="1" customWidth="1"/>
    <col min="9" max="16384" width="11.57421875" style="0" customWidth="1"/>
  </cols>
  <sheetData>
    <row r="1" spans="1:8" ht="21.75" customHeight="1">
      <c r="A1" s="2" t="s">
        <v>517</v>
      </c>
      <c r="B1" s="2"/>
      <c r="C1" s="2"/>
      <c r="D1" s="2"/>
      <c r="E1" s="2"/>
      <c r="F1" s="2"/>
      <c r="G1" s="2"/>
      <c r="H1" s="2"/>
    </row>
    <row r="2" spans="1:9" ht="12.75" customHeight="1">
      <c r="A2" s="3" t="s">
        <v>1</v>
      </c>
      <c r="B2" s="3"/>
      <c r="C2" s="4" t="s">
        <v>2</v>
      </c>
      <c r="D2" s="4"/>
      <c r="E2" s="6" t="s">
        <v>4</v>
      </c>
      <c r="F2" s="67" t="s">
        <v>5</v>
      </c>
      <c r="G2" s="67"/>
      <c r="H2" s="67"/>
      <c r="I2" s="8"/>
    </row>
    <row r="3" spans="1:9" ht="12.75">
      <c r="A3" s="3"/>
      <c r="B3" s="3"/>
      <c r="C3" s="4"/>
      <c r="D3" s="4"/>
      <c r="E3" s="6"/>
      <c r="F3" s="67"/>
      <c r="G3" s="67"/>
      <c r="H3" s="67"/>
      <c r="I3" s="8"/>
    </row>
    <row r="4" spans="1:9" ht="12.75" customHeight="1">
      <c r="A4" s="9" t="s">
        <v>6</v>
      </c>
      <c r="B4" s="9"/>
      <c r="C4" s="10"/>
      <c r="D4" s="10"/>
      <c r="E4" s="10" t="s">
        <v>9</v>
      </c>
      <c r="F4" s="68" t="s">
        <v>10</v>
      </c>
      <c r="G4" s="68"/>
      <c r="H4" s="68"/>
      <c r="I4" s="8"/>
    </row>
    <row r="5" spans="1:9" ht="12.75">
      <c r="A5" s="9"/>
      <c r="B5" s="9"/>
      <c r="C5" s="10"/>
      <c r="D5" s="10"/>
      <c r="E5" s="10"/>
      <c r="F5" s="68"/>
      <c r="G5" s="68"/>
      <c r="H5" s="68"/>
      <c r="I5" s="8"/>
    </row>
    <row r="6" spans="1:9" ht="12.75" customHeight="1">
      <c r="A6" s="9" t="s">
        <v>11</v>
      </c>
      <c r="B6" s="9"/>
      <c r="C6" s="10" t="s">
        <v>12</v>
      </c>
      <c r="D6" s="10"/>
      <c r="E6" s="10" t="s">
        <v>14</v>
      </c>
      <c r="F6" s="68"/>
      <c r="G6" s="68"/>
      <c r="H6" s="68"/>
      <c r="I6" s="8"/>
    </row>
    <row r="7" spans="1:9" ht="12.75">
      <c r="A7" s="9"/>
      <c r="B7" s="9"/>
      <c r="C7" s="10"/>
      <c r="D7" s="10"/>
      <c r="E7" s="10"/>
      <c r="F7" s="68"/>
      <c r="G7" s="68"/>
      <c r="H7" s="68"/>
      <c r="I7" s="8"/>
    </row>
    <row r="8" spans="1:9" ht="12.75" customHeight="1">
      <c r="A8" s="14" t="s">
        <v>17</v>
      </c>
      <c r="B8" s="14"/>
      <c r="C8" s="15" t="s">
        <v>18</v>
      </c>
      <c r="D8" s="15"/>
      <c r="E8" s="16" t="s">
        <v>16</v>
      </c>
      <c r="F8" s="69">
        <v>41571</v>
      </c>
      <c r="G8" s="69"/>
      <c r="H8" s="69"/>
      <c r="I8" s="8"/>
    </row>
    <row r="9" spans="1:9" ht="12.75">
      <c r="A9" s="14"/>
      <c r="B9" s="14"/>
      <c r="C9" s="15"/>
      <c r="D9" s="15"/>
      <c r="E9" s="16"/>
      <c r="F9" s="69"/>
      <c r="G9" s="69"/>
      <c r="H9" s="69"/>
      <c r="I9" s="8"/>
    </row>
    <row r="10" spans="1:9" ht="12.75">
      <c r="A10" s="70" t="s">
        <v>19</v>
      </c>
      <c r="B10" s="71" t="s">
        <v>20</v>
      </c>
      <c r="C10" s="71" t="s">
        <v>21</v>
      </c>
      <c r="D10" s="71" t="s">
        <v>22</v>
      </c>
      <c r="E10" s="71" t="s">
        <v>23</v>
      </c>
      <c r="F10" s="72" t="s">
        <v>29</v>
      </c>
      <c r="G10" s="73" t="s">
        <v>24</v>
      </c>
      <c r="H10" s="74" t="s">
        <v>518</v>
      </c>
      <c r="I10" s="25"/>
    </row>
    <row r="11" spans="1:8" ht="12.75">
      <c r="A11" s="75" t="s">
        <v>48</v>
      </c>
      <c r="B11" s="75"/>
      <c r="C11" s="75" t="s">
        <v>49</v>
      </c>
      <c r="D11" s="75" t="s">
        <v>50</v>
      </c>
      <c r="E11" s="75" t="s">
        <v>51</v>
      </c>
      <c r="F11" s="76" t="s">
        <v>519</v>
      </c>
      <c r="G11" s="77">
        <v>22.66</v>
      </c>
      <c r="H11" s="78" t="s">
        <v>52</v>
      </c>
    </row>
    <row r="12" spans="1:8" ht="12.75">
      <c r="A12" s="75"/>
      <c r="B12" s="75"/>
      <c r="C12" s="75"/>
      <c r="D12" s="75"/>
      <c r="E12" s="75"/>
      <c r="F12" s="76" t="s">
        <v>520</v>
      </c>
      <c r="G12" s="77">
        <v>11.4</v>
      </c>
      <c r="H12" s="79"/>
    </row>
    <row r="13" spans="1:8" ht="12.75">
      <c r="A13" s="75" t="s">
        <v>53</v>
      </c>
      <c r="B13" s="75"/>
      <c r="C13" s="75" t="s">
        <v>54</v>
      </c>
      <c r="D13" s="75" t="s">
        <v>55</v>
      </c>
      <c r="E13" s="75" t="s">
        <v>51</v>
      </c>
      <c r="F13" s="76" t="s">
        <v>521</v>
      </c>
      <c r="G13" s="77">
        <v>10.23</v>
      </c>
      <c r="H13" s="78" t="s">
        <v>52</v>
      </c>
    </row>
    <row r="14" spans="1:8" ht="12.75">
      <c r="A14" s="75"/>
      <c r="B14" s="75"/>
      <c r="C14" s="75"/>
      <c r="D14" s="75"/>
      <c r="E14" s="75"/>
      <c r="F14" s="76" t="s">
        <v>522</v>
      </c>
      <c r="G14" s="77">
        <v>4.33</v>
      </c>
      <c r="H14" s="79"/>
    </row>
    <row r="15" spans="1:8" ht="12.75">
      <c r="A15" s="80" t="s">
        <v>56</v>
      </c>
      <c r="B15" s="80"/>
      <c r="C15" s="80" t="s">
        <v>57</v>
      </c>
      <c r="D15" s="80" t="s">
        <v>58</v>
      </c>
      <c r="E15" s="80" t="s">
        <v>59</v>
      </c>
      <c r="F15" s="81" t="s">
        <v>523</v>
      </c>
      <c r="G15" s="82">
        <v>0.06</v>
      </c>
      <c r="H15" s="83" t="s">
        <v>52</v>
      </c>
    </row>
    <row r="16" spans="1:8" ht="12.75">
      <c r="A16" s="80"/>
      <c r="B16" s="80"/>
      <c r="C16" s="80"/>
      <c r="D16" s="80"/>
      <c r="E16" s="80"/>
      <c r="F16" s="81" t="s">
        <v>524</v>
      </c>
      <c r="G16" s="82">
        <v>0.05</v>
      </c>
      <c r="H16" s="79"/>
    </row>
    <row r="17" spans="1:8" ht="12.75">
      <c r="A17" s="75" t="s">
        <v>61</v>
      </c>
      <c r="B17" s="75"/>
      <c r="C17" s="75" t="s">
        <v>62</v>
      </c>
      <c r="D17" s="75" t="s">
        <v>63</v>
      </c>
      <c r="E17" s="75" t="s">
        <v>64</v>
      </c>
      <c r="F17" s="76"/>
      <c r="G17" s="77">
        <v>4.17565</v>
      </c>
      <c r="H17" s="78" t="s">
        <v>52</v>
      </c>
    </row>
    <row r="18" spans="1:8" ht="12.75">
      <c r="A18" s="75" t="s">
        <v>65</v>
      </c>
      <c r="B18" s="75"/>
      <c r="C18" s="75" t="s">
        <v>68</v>
      </c>
      <c r="D18" s="75" t="s">
        <v>69</v>
      </c>
      <c r="E18" s="75" t="s">
        <v>51</v>
      </c>
      <c r="F18" s="76" t="s">
        <v>525</v>
      </c>
      <c r="G18" s="77">
        <v>1.44</v>
      </c>
      <c r="H18" s="78" t="s">
        <v>52</v>
      </c>
    </row>
    <row r="19" spans="1:8" ht="12.75">
      <c r="A19" s="79"/>
      <c r="B19" s="79"/>
      <c r="C19" s="79"/>
      <c r="D19" s="84" t="s">
        <v>70</v>
      </c>
      <c r="E19" s="79"/>
      <c r="F19" s="85"/>
      <c r="G19" s="79"/>
      <c r="H19" s="79"/>
    </row>
    <row r="20" spans="1:8" ht="12.75">
      <c r="A20" s="75"/>
      <c r="B20" s="75"/>
      <c r="C20" s="75"/>
      <c r="D20" s="75"/>
      <c r="E20" s="75"/>
      <c r="F20" s="76" t="s">
        <v>526</v>
      </c>
      <c r="G20" s="77">
        <v>1.2</v>
      </c>
      <c r="H20" s="79"/>
    </row>
    <row r="21" spans="1:8" ht="12.75">
      <c r="A21" s="80" t="s">
        <v>71</v>
      </c>
      <c r="B21" s="80"/>
      <c r="C21" s="80" t="s">
        <v>72</v>
      </c>
      <c r="D21" s="80" t="s">
        <v>73</v>
      </c>
      <c r="E21" s="80" t="s">
        <v>51</v>
      </c>
      <c r="F21" s="81" t="s">
        <v>525</v>
      </c>
      <c r="G21" s="82">
        <v>1.44</v>
      </c>
      <c r="H21" s="83" t="s">
        <v>52</v>
      </c>
    </row>
    <row r="22" spans="1:8" ht="12.75">
      <c r="A22" s="80"/>
      <c r="B22" s="80"/>
      <c r="C22" s="80"/>
      <c r="D22" s="80"/>
      <c r="E22" s="80"/>
      <c r="F22" s="81" t="s">
        <v>526</v>
      </c>
      <c r="G22" s="82">
        <v>1.2</v>
      </c>
      <c r="H22" s="79"/>
    </row>
    <row r="23" spans="1:8" ht="12.75">
      <c r="A23" s="75" t="s">
        <v>74</v>
      </c>
      <c r="B23" s="75"/>
      <c r="C23" s="75" t="s">
        <v>62</v>
      </c>
      <c r="D23" s="75" t="s">
        <v>63</v>
      </c>
      <c r="E23" s="75" t="s">
        <v>64</v>
      </c>
      <c r="F23" s="76"/>
      <c r="G23" s="77">
        <v>0.01956</v>
      </c>
      <c r="H23" s="78" t="s">
        <v>52</v>
      </c>
    </row>
    <row r="24" spans="1:8" ht="12.75">
      <c r="A24" s="75" t="s">
        <v>77</v>
      </c>
      <c r="B24" s="75"/>
      <c r="C24" s="75" t="s">
        <v>78</v>
      </c>
      <c r="D24" s="75" t="s">
        <v>79</v>
      </c>
      <c r="E24" s="75" t="s">
        <v>51</v>
      </c>
      <c r="F24" s="76" t="s">
        <v>527</v>
      </c>
      <c r="G24" s="77">
        <v>200.21</v>
      </c>
      <c r="H24" s="78" t="s">
        <v>52</v>
      </c>
    </row>
    <row r="25" spans="1:8" ht="12.75">
      <c r="A25" s="79"/>
      <c r="B25" s="79"/>
      <c r="C25" s="79"/>
      <c r="D25" s="84" t="s">
        <v>80</v>
      </c>
      <c r="E25" s="79"/>
      <c r="F25" s="85"/>
      <c r="G25" s="79"/>
      <c r="H25" s="79"/>
    </row>
    <row r="26" spans="1:8" ht="12.75">
      <c r="A26" s="75"/>
      <c r="B26" s="75"/>
      <c r="C26" s="75"/>
      <c r="D26" s="75"/>
      <c r="E26" s="75"/>
      <c r="F26" s="76" t="s">
        <v>528</v>
      </c>
      <c r="G26" s="77">
        <v>22.57</v>
      </c>
      <c r="H26" s="79"/>
    </row>
    <row r="27" spans="1:8" ht="12.75">
      <c r="A27" s="75"/>
      <c r="B27" s="75"/>
      <c r="C27" s="75"/>
      <c r="D27" s="75"/>
      <c r="E27" s="75"/>
      <c r="F27" s="76" t="s">
        <v>529</v>
      </c>
      <c r="G27" s="77">
        <v>72.21</v>
      </c>
      <c r="H27" s="79"/>
    </row>
    <row r="28" spans="1:8" ht="12.75">
      <c r="A28" s="75"/>
      <c r="B28" s="75"/>
      <c r="C28" s="75"/>
      <c r="D28" s="75"/>
      <c r="E28" s="75"/>
      <c r="F28" s="76" t="s">
        <v>530</v>
      </c>
      <c r="G28" s="77">
        <v>27.49</v>
      </c>
      <c r="H28" s="79"/>
    </row>
    <row r="29" spans="1:8" ht="12.75">
      <c r="A29" s="75"/>
      <c r="B29" s="75"/>
      <c r="C29" s="75"/>
      <c r="D29" s="75"/>
      <c r="E29" s="75"/>
      <c r="F29" s="76" t="s">
        <v>531</v>
      </c>
      <c r="G29" s="77">
        <v>46.2</v>
      </c>
      <c r="H29" s="79"/>
    </row>
    <row r="30" spans="1:8" ht="12.75">
      <c r="A30" s="75" t="s">
        <v>81</v>
      </c>
      <c r="B30" s="75"/>
      <c r="C30" s="75" t="s">
        <v>82</v>
      </c>
      <c r="D30" s="75" t="s">
        <v>83</v>
      </c>
      <c r="E30" s="75" t="s">
        <v>51</v>
      </c>
      <c r="F30" s="76" t="s">
        <v>532</v>
      </c>
      <c r="G30" s="77">
        <v>14.28</v>
      </c>
      <c r="H30" s="78" t="s">
        <v>52</v>
      </c>
    </row>
    <row r="31" spans="1:8" ht="12.75">
      <c r="A31" s="79"/>
      <c r="B31" s="79"/>
      <c r="C31" s="79"/>
      <c r="D31" s="84" t="s">
        <v>84</v>
      </c>
      <c r="E31" s="79"/>
      <c r="F31" s="85"/>
      <c r="G31" s="79"/>
      <c r="H31" s="79"/>
    </row>
    <row r="32" spans="1:8" ht="12.75">
      <c r="A32" s="75"/>
      <c r="B32" s="75"/>
      <c r="C32" s="75"/>
      <c r="D32" s="75"/>
      <c r="E32" s="75"/>
      <c r="F32" s="76" t="s">
        <v>533</v>
      </c>
      <c r="G32" s="77">
        <v>6.3</v>
      </c>
      <c r="H32" s="79"/>
    </row>
    <row r="33" spans="1:8" ht="12.75">
      <c r="A33" s="75"/>
      <c r="B33" s="75"/>
      <c r="C33" s="75"/>
      <c r="D33" s="75"/>
      <c r="E33" s="75"/>
      <c r="F33" s="76" t="s">
        <v>534</v>
      </c>
      <c r="G33" s="77">
        <v>4.16</v>
      </c>
      <c r="H33" s="79"/>
    </row>
    <row r="34" spans="1:8" ht="12.75">
      <c r="A34" s="75" t="s">
        <v>85</v>
      </c>
      <c r="B34" s="75"/>
      <c r="C34" s="75" t="s">
        <v>86</v>
      </c>
      <c r="D34" s="75" t="s">
        <v>87</v>
      </c>
      <c r="E34" s="75" t="s">
        <v>51</v>
      </c>
      <c r="F34" s="76" t="s">
        <v>532</v>
      </c>
      <c r="G34" s="77">
        <v>14.28</v>
      </c>
      <c r="H34" s="78" t="s">
        <v>52</v>
      </c>
    </row>
    <row r="35" spans="1:8" ht="12.75">
      <c r="A35" s="79"/>
      <c r="B35" s="79"/>
      <c r="C35" s="79"/>
      <c r="D35" s="84" t="s">
        <v>84</v>
      </c>
      <c r="E35" s="79"/>
      <c r="F35" s="85"/>
      <c r="G35" s="79"/>
      <c r="H35" s="79"/>
    </row>
    <row r="36" spans="1:8" ht="12.75">
      <c r="A36" s="75"/>
      <c r="B36" s="75"/>
      <c r="C36" s="75"/>
      <c r="D36" s="75"/>
      <c r="E36" s="75"/>
      <c r="F36" s="76" t="s">
        <v>533</v>
      </c>
      <c r="G36" s="77">
        <v>6.3</v>
      </c>
      <c r="H36" s="79"/>
    </row>
    <row r="37" spans="1:8" ht="12.75">
      <c r="A37" s="75"/>
      <c r="B37" s="75"/>
      <c r="C37" s="75"/>
      <c r="D37" s="75"/>
      <c r="E37" s="75"/>
      <c r="F37" s="76" t="s">
        <v>534</v>
      </c>
      <c r="G37" s="77">
        <v>4.16</v>
      </c>
      <c r="H37" s="79"/>
    </row>
    <row r="38" spans="1:8" ht="12.75">
      <c r="A38" s="75" t="s">
        <v>88</v>
      </c>
      <c r="B38" s="75"/>
      <c r="C38" s="75" t="s">
        <v>62</v>
      </c>
      <c r="D38" s="75" t="s">
        <v>63</v>
      </c>
      <c r="E38" s="75" t="s">
        <v>64</v>
      </c>
      <c r="F38" s="76"/>
      <c r="G38" s="77">
        <v>1.51741</v>
      </c>
      <c r="H38" s="78" t="s">
        <v>52</v>
      </c>
    </row>
    <row r="39" spans="1:8" ht="12.75">
      <c r="A39" s="75" t="s">
        <v>91</v>
      </c>
      <c r="B39" s="75"/>
      <c r="C39" s="75" t="s">
        <v>92</v>
      </c>
      <c r="D39" s="75" t="s">
        <v>93</v>
      </c>
      <c r="E39" s="75" t="s">
        <v>51</v>
      </c>
      <c r="F39" s="76" t="s">
        <v>535</v>
      </c>
      <c r="G39" s="77">
        <v>1</v>
      </c>
      <c r="H39" s="78" t="s">
        <v>52</v>
      </c>
    </row>
    <row r="40" spans="1:8" ht="12.75">
      <c r="A40" s="75" t="s">
        <v>94</v>
      </c>
      <c r="B40" s="75"/>
      <c r="C40" s="75" t="s">
        <v>62</v>
      </c>
      <c r="D40" s="75" t="s">
        <v>63</v>
      </c>
      <c r="E40" s="75" t="s">
        <v>64</v>
      </c>
      <c r="F40" s="76"/>
      <c r="G40" s="77">
        <v>0.06989</v>
      </c>
      <c r="H40" s="78" t="s">
        <v>52</v>
      </c>
    </row>
    <row r="41" spans="1:8" ht="12.75">
      <c r="A41" s="75" t="s">
        <v>97</v>
      </c>
      <c r="B41" s="75"/>
      <c r="C41" s="75" t="s">
        <v>98</v>
      </c>
      <c r="D41" s="75" t="s">
        <v>99</v>
      </c>
      <c r="E41" s="75" t="s">
        <v>100</v>
      </c>
      <c r="F41" s="76" t="s">
        <v>536</v>
      </c>
      <c r="G41" s="77">
        <v>2</v>
      </c>
      <c r="H41" s="78" t="s">
        <v>52</v>
      </c>
    </row>
    <row r="42" spans="1:8" ht="12.75">
      <c r="A42" s="79"/>
      <c r="B42" s="79"/>
      <c r="C42" s="79"/>
      <c r="D42" s="84" t="s">
        <v>101</v>
      </c>
      <c r="E42" s="79"/>
      <c r="F42" s="85"/>
      <c r="G42" s="79"/>
      <c r="H42" s="79"/>
    </row>
    <row r="43" spans="1:8" ht="12.75">
      <c r="A43" s="80" t="s">
        <v>102</v>
      </c>
      <c r="B43" s="80"/>
      <c r="C43" s="80" t="s">
        <v>103</v>
      </c>
      <c r="D43" s="80" t="s">
        <v>104</v>
      </c>
      <c r="E43" s="80" t="s">
        <v>105</v>
      </c>
      <c r="F43" s="81" t="s">
        <v>536</v>
      </c>
      <c r="G43" s="82">
        <v>2</v>
      </c>
      <c r="H43" s="83"/>
    </row>
    <row r="44" spans="1:8" ht="12.75">
      <c r="A44" s="75" t="s">
        <v>106</v>
      </c>
      <c r="B44" s="75"/>
      <c r="C44" s="75" t="s">
        <v>107</v>
      </c>
      <c r="D44" s="75" t="s">
        <v>108</v>
      </c>
      <c r="E44" s="75" t="s">
        <v>100</v>
      </c>
      <c r="F44" s="76" t="s">
        <v>537</v>
      </c>
      <c r="G44" s="77">
        <v>1</v>
      </c>
      <c r="H44" s="78" t="s">
        <v>52</v>
      </c>
    </row>
    <row r="45" spans="1:8" ht="12.75">
      <c r="A45" s="79"/>
      <c r="B45" s="79"/>
      <c r="C45" s="79"/>
      <c r="D45" s="84" t="s">
        <v>101</v>
      </c>
      <c r="E45" s="79"/>
      <c r="F45" s="85"/>
      <c r="G45" s="79"/>
      <c r="H45" s="79"/>
    </row>
    <row r="46" spans="1:8" ht="12.75">
      <c r="A46" s="80" t="s">
        <v>109</v>
      </c>
      <c r="B46" s="80"/>
      <c r="C46" s="80" t="s">
        <v>110</v>
      </c>
      <c r="D46" s="80" t="s">
        <v>111</v>
      </c>
      <c r="E46" s="80" t="s">
        <v>105</v>
      </c>
      <c r="F46" s="81" t="s">
        <v>537</v>
      </c>
      <c r="G46" s="82">
        <v>1</v>
      </c>
      <c r="H46" s="83"/>
    </row>
    <row r="47" spans="1:8" ht="12.75">
      <c r="A47" s="75" t="s">
        <v>112</v>
      </c>
      <c r="B47" s="75"/>
      <c r="C47" s="75" t="s">
        <v>113</v>
      </c>
      <c r="D47" s="75" t="s">
        <v>114</v>
      </c>
      <c r="E47" s="75" t="s">
        <v>100</v>
      </c>
      <c r="F47" s="76" t="s">
        <v>538</v>
      </c>
      <c r="G47" s="77">
        <v>2</v>
      </c>
      <c r="H47" s="78" t="s">
        <v>52</v>
      </c>
    </row>
    <row r="48" spans="1:8" ht="12.75">
      <c r="A48" s="80" t="s">
        <v>115</v>
      </c>
      <c r="B48" s="80"/>
      <c r="C48" s="80" t="s">
        <v>116</v>
      </c>
      <c r="D48" s="80" t="s">
        <v>117</v>
      </c>
      <c r="E48" s="80" t="s">
        <v>105</v>
      </c>
      <c r="F48" s="81" t="s">
        <v>539</v>
      </c>
      <c r="G48" s="82">
        <v>1</v>
      </c>
      <c r="H48" s="83"/>
    </row>
    <row r="49" spans="1:8" ht="12.75">
      <c r="A49" s="80" t="s">
        <v>118</v>
      </c>
      <c r="B49" s="80"/>
      <c r="C49" s="80" t="s">
        <v>119</v>
      </c>
      <c r="D49" s="80" t="s">
        <v>120</v>
      </c>
      <c r="E49" s="80" t="s">
        <v>105</v>
      </c>
      <c r="F49" s="81" t="s">
        <v>539</v>
      </c>
      <c r="G49" s="82">
        <v>1</v>
      </c>
      <c r="H49" s="83"/>
    </row>
    <row r="50" spans="1:8" ht="12.75">
      <c r="A50" s="75" t="s">
        <v>121</v>
      </c>
      <c r="B50" s="75"/>
      <c r="C50" s="75" t="s">
        <v>122</v>
      </c>
      <c r="D50" s="75" t="s">
        <v>123</v>
      </c>
      <c r="E50" s="75" t="s">
        <v>64</v>
      </c>
      <c r="F50" s="76"/>
      <c r="G50" s="77">
        <v>1.70688</v>
      </c>
      <c r="H50" s="78" t="s">
        <v>52</v>
      </c>
    </row>
    <row r="51" spans="1:8" ht="12.75">
      <c r="A51" s="75" t="s">
        <v>127</v>
      </c>
      <c r="B51" s="75"/>
      <c r="C51" s="75" t="s">
        <v>128</v>
      </c>
      <c r="D51" s="75" t="s">
        <v>129</v>
      </c>
      <c r="E51" s="75" t="s">
        <v>130</v>
      </c>
      <c r="F51" s="76" t="s">
        <v>540</v>
      </c>
      <c r="G51" s="77">
        <v>1</v>
      </c>
      <c r="H51" s="78"/>
    </row>
    <row r="52" spans="1:8" ht="12.75">
      <c r="A52" s="79"/>
      <c r="B52" s="79"/>
      <c r="C52" s="79"/>
      <c r="D52" s="84" t="s">
        <v>131</v>
      </c>
      <c r="E52" s="79"/>
      <c r="F52" s="85"/>
      <c r="G52" s="79"/>
      <c r="H52" s="79"/>
    </row>
    <row r="53" spans="1:8" ht="12.75">
      <c r="A53" s="75" t="s">
        <v>132</v>
      </c>
      <c r="B53" s="75"/>
      <c r="C53" s="75" t="s">
        <v>133</v>
      </c>
      <c r="D53" s="75" t="s">
        <v>134</v>
      </c>
      <c r="E53" s="75" t="s">
        <v>130</v>
      </c>
      <c r="F53" s="76" t="s">
        <v>540</v>
      </c>
      <c r="G53" s="77">
        <v>1</v>
      </c>
      <c r="H53" s="78"/>
    </row>
    <row r="54" spans="1:8" ht="12.75">
      <c r="A54" s="79"/>
      <c r="B54" s="79"/>
      <c r="C54" s="79"/>
      <c r="D54" s="84" t="s">
        <v>131</v>
      </c>
      <c r="E54" s="79"/>
      <c r="F54" s="85"/>
      <c r="G54" s="79"/>
      <c r="H54" s="79"/>
    </row>
    <row r="55" spans="1:8" ht="12.75">
      <c r="A55" s="75" t="s">
        <v>135</v>
      </c>
      <c r="B55" s="75"/>
      <c r="C55" s="75" t="s">
        <v>136</v>
      </c>
      <c r="D55" s="75" t="s">
        <v>137</v>
      </c>
      <c r="E55" s="75" t="s">
        <v>130</v>
      </c>
      <c r="F55" s="76" t="s">
        <v>541</v>
      </c>
      <c r="G55" s="77">
        <v>2</v>
      </c>
      <c r="H55" s="78"/>
    </row>
    <row r="56" spans="1:8" ht="12.75">
      <c r="A56" s="79"/>
      <c r="B56" s="79"/>
      <c r="C56" s="79"/>
      <c r="D56" s="84" t="s">
        <v>131</v>
      </c>
      <c r="E56" s="79"/>
      <c r="F56" s="85"/>
      <c r="G56" s="79"/>
      <c r="H56" s="79"/>
    </row>
    <row r="57" spans="1:8" ht="12.75">
      <c r="A57" s="75" t="s">
        <v>138</v>
      </c>
      <c r="B57" s="75"/>
      <c r="C57" s="75" t="s">
        <v>136</v>
      </c>
      <c r="D57" s="75" t="s">
        <v>139</v>
      </c>
      <c r="E57" s="75" t="s">
        <v>130</v>
      </c>
      <c r="F57" s="76" t="s">
        <v>540</v>
      </c>
      <c r="G57" s="77">
        <v>1</v>
      </c>
      <c r="H57" s="78"/>
    </row>
    <row r="58" spans="1:8" ht="12.75">
      <c r="A58" s="79"/>
      <c r="B58" s="79"/>
      <c r="C58" s="79"/>
      <c r="D58" s="84" t="s">
        <v>131</v>
      </c>
      <c r="E58" s="79"/>
      <c r="F58" s="85"/>
      <c r="G58" s="79"/>
      <c r="H58" s="79"/>
    </row>
    <row r="59" spans="1:8" ht="12.75">
      <c r="A59" s="80" t="s">
        <v>140</v>
      </c>
      <c r="B59" s="80"/>
      <c r="C59" s="80" t="s">
        <v>141</v>
      </c>
      <c r="D59" s="80" t="s">
        <v>142</v>
      </c>
      <c r="E59" s="80" t="s">
        <v>100</v>
      </c>
      <c r="F59" s="81" t="s">
        <v>542</v>
      </c>
      <c r="G59" s="82">
        <v>5</v>
      </c>
      <c r="H59" s="83" t="s">
        <v>52</v>
      </c>
    </row>
    <row r="60" spans="1:8" ht="12.75">
      <c r="A60" s="80"/>
      <c r="B60" s="80"/>
      <c r="C60" s="80"/>
      <c r="D60" s="80"/>
      <c r="E60" s="80"/>
      <c r="F60" s="81" t="s">
        <v>543</v>
      </c>
      <c r="G60" s="82">
        <v>2</v>
      </c>
      <c r="H60" s="79"/>
    </row>
    <row r="61" spans="1:8" ht="12.75">
      <c r="A61" s="80" t="s">
        <v>143</v>
      </c>
      <c r="B61" s="80"/>
      <c r="C61" s="80" t="s">
        <v>144</v>
      </c>
      <c r="D61" s="80" t="s">
        <v>145</v>
      </c>
      <c r="E61" s="80" t="s">
        <v>100</v>
      </c>
      <c r="F61" s="81" t="s">
        <v>541</v>
      </c>
      <c r="G61" s="82">
        <v>3</v>
      </c>
      <c r="H61" s="83"/>
    </row>
    <row r="62" spans="1:8" ht="12.75">
      <c r="A62" s="80"/>
      <c r="B62" s="80"/>
      <c r="C62" s="80"/>
      <c r="D62" s="80"/>
      <c r="E62" s="80"/>
      <c r="F62" s="81" t="s">
        <v>544</v>
      </c>
      <c r="G62" s="82">
        <v>1</v>
      </c>
      <c r="H62" s="79"/>
    </row>
    <row r="63" spans="1:8" ht="12.75">
      <c r="A63" s="80" t="s">
        <v>146</v>
      </c>
      <c r="B63" s="80"/>
      <c r="C63" s="80" t="s">
        <v>147</v>
      </c>
      <c r="D63" s="80" t="s">
        <v>148</v>
      </c>
      <c r="E63" s="80" t="s">
        <v>100</v>
      </c>
      <c r="F63" s="81" t="s">
        <v>541</v>
      </c>
      <c r="G63" s="82">
        <v>3</v>
      </c>
      <c r="H63" s="83"/>
    </row>
    <row r="64" spans="1:8" ht="12.75">
      <c r="A64" s="80"/>
      <c r="B64" s="80"/>
      <c r="C64" s="80"/>
      <c r="D64" s="80"/>
      <c r="E64" s="80"/>
      <c r="F64" s="81" t="s">
        <v>544</v>
      </c>
      <c r="G64" s="82">
        <v>1</v>
      </c>
      <c r="H64" s="79"/>
    </row>
    <row r="65" spans="1:8" ht="12.75">
      <c r="A65" s="80" t="s">
        <v>149</v>
      </c>
      <c r="B65" s="80"/>
      <c r="C65" s="80" t="s">
        <v>150</v>
      </c>
      <c r="D65" s="80" t="s">
        <v>151</v>
      </c>
      <c r="E65" s="80" t="s">
        <v>100</v>
      </c>
      <c r="F65" s="81" t="s">
        <v>545</v>
      </c>
      <c r="G65" s="82">
        <v>1</v>
      </c>
      <c r="H65" s="83"/>
    </row>
    <row r="66" spans="1:8" ht="12.75">
      <c r="A66" s="80" t="s">
        <v>152</v>
      </c>
      <c r="B66" s="80"/>
      <c r="C66" s="80" t="s">
        <v>153</v>
      </c>
      <c r="D66" s="80" t="s">
        <v>154</v>
      </c>
      <c r="E66" s="80" t="s">
        <v>100</v>
      </c>
      <c r="F66" s="81" t="s">
        <v>542</v>
      </c>
      <c r="G66" s="82">
        <v>5</v>
      </c>
      <c r="H66" s="83"/>
    </row>
    <row r="67" spans="1:8" ht="12.75">
      <c r="A67" s="80"/>
      <c r="B67" s="80"/>
      <c r="C67" s="80"/>
      <c r="D67" s="80"/>
      <c r="E67" s="80"/>
      <c r="F67" s="81" t="s">
        <v>543</v>
      </c>
      <c r="G67" s="82">
        <v>2</v>
      </c>
      <c r="H67" s="79"/>
    </row>
    <row r="68" spans="1:8" ht="12.75">
      <c r="A68" s="75" t="s">
        <v>155</v>
      </c>
      <c r="B68" s="75"/>
      <c r="C68" s="75" t="s">
        <v>156</v>
      </c>
      <c r="D68" s="75" t="s">
        <v>157</v>
      </c>
      <c r="E68" s="75" t="s">
        <v>130</v>
      </c>
      <c r="F68" s="76" t="s">
        <v>65</v>
      </c>
      <c r="G68" s="77">
        <v>17</v>
      </c>
      <c r="H68" s="78"/>
    </row>
    <row r="69" spans="1:8" ht="12.75">
      <c r="A69" s="75"/>
      <c r="B69" s="75"/>
      <c r="C69" s="75"/>
      <c r="D69" s="75"/>
      <c r="E69" s="75"/>
      <c r="F69" s="76" t="s">
        <v>56</v>
      </c>
      <c r="G69" s="77">
        <v>3</v>
      </c>
      <c r="H69" s="79"/>
    </row>
    <row r="70" spans="1:8" ht="12.75">
      <c r="A70" s="75"/>
      <c r="B70" s="75"/>
      <c r="C70" s="75"/>
      <c r="D70" s="75"/>
      <c r="E70" s="75"/>
      <c r="F70" s="76" t="s">
        <v>56</v>
      </c>
      <c r="G70" s="77">
        <v>3</v>
      </c>
      <c r="H70" s="79"/>
    </row>
    <row r="71" spans="1:8" ht="12.75">
      <c r="A71" s="75"/>
      <c r="B71" s="75"/>
      <c r="C71" s="75"/>
      <c r="D71" s="75"/>
      <c r="E71" s="75"/>
      <c r="F71" s="76" t="s">
        <v>48</v>
      </c>
      <c r="G71" s="77">
        <v>1</v>
      </c>
      <c r="H71" s="79"/>
    </row>
    <row r="72" spans="1:8" ht="12.75">
      <c r="A72" s="75"/>
      <c r="B72" s="75"/>
      <c r="C72" s="75"/>
      <c r="D72" s="75"/>
      <c r="E72" s="75"/>
      <c r="F72" s="76" t="s">
        <v>65</v>
      </c>
      <c r="G72" s="77">
        <v>5</v>
      </c>
      <c r="H72" s="79"/>
    </row>
    <row r="73" spans="1:8" ht="12.75">
      <c r="A73" s="80" t="s">
        <v>158</v>
      </c>
      <c r="B73" s="80"/>
      <c r="C73" s="80" t="s">
        <v>159</v>
      </c>
      <c r="D73" s="80" t="s">
        <v>160</v>
      </c>
      <c r="E73" s="80" t="s">
        <v>105</v>
      </c>
      <c r="F73" s="81" t="s">
        <v>540</v>
      </c>
      <c r="G73" s="82">
        <v>1</v>
      </c>
      <c r="H73" s="83"/>
    </row>
    <row r="74" spans="1:8" ht="12.75">
      <c r="A74" s="75" t="s">
        <v>161</v>
      </c>
      <c r="B74" s="75"/>
      <c r="C74" s="75" t="s">
        <v>162</v>
      </c>
      <c r="D74" s="75" t="s">
        <v>163</v>
      </c>
      <c r="E74" s="75" t="s">
        <v>130</v>
      </c>
      <c r="F74" s="76" t="s">
        <v>48</v>
      </c>
      <c r="G74" s="77">
        <v>1</v>
      </c>
      <c r="H74" s="78"/>
    </row>
    <row r="75" spans="1:8" ht="12.75">
      <c r="A75" s="79"/>
      <c r="B75" s="79"/>
      <c r="C75" s="79"/>
      <c r="D75" s="84" t="s">
        <v>164</v>
      </c>
      <c r="E75" s="79"/>
      <c r="F75" s="85"/>
      <c r="G75" s="79"/>
      <c r="H75" s="79"/>
    </row>
    <row r="76" spans="1:8" ht="12.75">
      <c r="A76" s="80" t="s">
        <v>45</v>
      </c>
      <c r="B76" s="80"/>
      <c r="C76" s="80" t="s">
        <v>165</v>
      </c>
      <c r="D76" s="80" t="s">
        <v>166</v>
      </c>
      <c r="E76" s="80" t="s">
        <v>100</v>
      </c>
      <c r="F76" s="81" t="s">
        <v>540</v>
      </c>
      <c r="G76" s="82">
        <v>2</v>
      </c>
      <c r="H76" s="83"/>
    </row>
    <row r="77" spans="1:8" ht="12.75">
      <c r="A77" s="80"/>
      <c r="B77" s="80"/>
      <c r="C77" s="80"/>
      <c r="D77" s="80"/>
      <c r="E77" s="80"/>
      <c r="F77" s="81" t="s">
        <v>544</v>
      </c>
      <c r="G77" s="82">
        <v>1</v>
      </c>
      <c r="H77" s="79"/>
    </row>
    <row r="78" spans="1:8" ht="12.75">
      <c r="A78" s="80" t="s">
        <v>167</v>
      </c>
      <c r="B78" s="80"/>
      <c r="C78" s="80" t="s">
        <v>168</v>
      </c>
      <c r="D78" s="80" t="s">
        <v>169</v>
      </c>
      <c r="E78" s="80" t="s">
        <v>105</v>
      </c>
      <c r="F78" s="81" t="s">
        <v>540</v>
      </c>
      <c r="G78" s="82">
        <v>1</v>
      </c>
      <c r="H78" s="83"/>
    </row>
    <row r="79" spans="1:8" ht="12.75">
      <c r="A79" s="80" t="s">
        <v>170</v>
      </c>
      <c r="B79" s="80"/>
      <c r="C79" s="80" t="s">
        <v>171</v>
      </c>
      <c r="D79" s="80" t="s">
        <v>172</v>
      </c>
      <c r="E79" s="80" t="s">
        <v>105</v>
      </c>
      <c r="F79" s="81" t="s">
        <v>544</v>
      </c>
      <c r="G79" s="82">
        <v>1</v>
      </c>
      <c r="H79" s="83"/>
    </row>
    <row r="80" spans="1:8" ht="12.75">
      <c r="A80" s="75" t="s">
        <v>173</v>
      </c>
      <c r="B80" s="75"/>
      <c r="C80" s="75" t="s">
        <v>174</v>
      </c>
      <c r="D80" s="75" t="s">
        <v>175</v>
      </c>
      <c r="E80" s="75" t="s">
        <v>130</v>
      </c>
      <c r="F80" s="76" t="s">
        <v>540</v>
      </c>
      <c r="G80" s="77">
        <v>2</v>
      </c>
      <c r="H80" s="78"/>
    </row>
    <row r="81" spans="1:8" ht="12.75">
      <c r="A81" s="75"/>
      <c r="B81" s="75"/>
      <c r="C81" s="75"/>
      <c r="D81" s="75"/>
      <c r="E81" s="75"/>
      <c r="F81" s="76" t="s">
        <v>544</v>
      </c>
      <c r="G81" s="77">
        <v>1</v>
      </c>
      <c r="H81" s="79"/>
    </row>
    <row r="82" spans="1:8" ht="12.75">
      <c r="A82" s="80" t="s">
        <v>176</v>
      </c>
      <c r="B82" s="80"/>
      <c r="C82" s="80" t="s">
        <v>177</v>
      </c>
      <c r="D82" s="80" t="s">
        <v>178</v>
      </c>
      <c r="E82" s="80" t="s">
        <v>105</v>
      </c>
      <c r="F82" s="81" t="s">
        <v>544</v>
      </c>
      <c r="G82" s="82">
        <v>1</v>
      </c>
      <c r="H82" s="83"/>
    </row>
    <row r="83" spans="1:8" ht="12.75">
      <c r="A83" s="80" t="s">
        <v>179</v>
      </c>
      <c r="B83" s="80"/>
      <c r="C83" s="80" t="s">
        <v>180</v>
      </c>
      <c r="D83" s="80" t="s">
        <v>181</v>
      </c>
      <c r="E83" s="80" t="s">
        <v>105</v>
      </c>
      <c r="F83" s="81" t="s">
        <v>540</v>
      </c>
      <c r="G83" s="82">
        <v>1</v>
      </c>
      <c r="H83" s="83"/>
    </row>
    <row r="84" spans="1:8" ht="12.75">
      <c r="A84" s="75" t="s">
        <v>182</v>
      </c>
      <c r="B84" s="75"/>
      <c r="C84" s="75" t="s">
        <v>183</v>
      </c>
      <c r="D84" s="75" t="s">
        <v>184</v>
      </c>
      <c r="E84" s="75" t="s">
        <v>130</v>
      </c>
      <c r="F84" s="76" t="s">
        <v>48</v>
      </c>
      <c r="G84" s="77">
        <v>2</v>
      </c>
      <c r="H84" s="78"/>
    </row>
    <row r="85" spans="1:8" ht="12.75">
      <c r="A85" s="79"/>
      <c r="B85" s="79"/>
      <c r="C85" s="79"/>
      <c r="D85" s="84" t="s">
        <v>185</v>
      </c>
      <c r="E85" s="79"/>
      <c r="F85" s="85"/>
      <c r="G85" s="79"/>
      <c r="H85" s="79"/>
    </row>
    <row r="86" spans="1:8" ht="12.75">
      <c r="A86" s="75"/>
      <c r="B86" s="75"/>
      <c r="C86" s="75"/>
      <c r="D86" s="75"/>
      <c r="E86" s="75"/>
      <c r="F86" s="76" t="s">
        <v>48</v>
      </c>
      <c r="G86" s="77">
        <v>1</v>
      </c>
      <c r="H86" s="79"/>
    </row>
    <row r="87" spans="1:8" ht="12.75">
      <c r="A87" s="75" t="s">
        <v>66</v>
      </c>
      <c r="B87" s="75"/>
      <c r="C87" s="75" t="s">
        <v>186</v>
      </c>
      <c r="D87" s="75" t="s">
        <v>187</v>
      </c>
      <c r="E87" s="75" t="s">
        <v>64</v>
      </c>
      <c r="F87" s="76"/>
      <c r="G87" s="77">
        <v>0.0589</v>
      </c>
      <c r="H87" s="78" t="s">
        <v>52</v>
      </c>
    </row>
    <row r="88" spans="1:8" ht="12.75">
      <c r="A88" s="75" t="s">
        <v>190</v>
      </c>
      <c r="B88" s="75"/>
      <c r="C88" s="75" t="s">
        <v>191</v>
      </c>
      <c r="D88" s="75" t="s">
        <v>192</v>
      </c>
      <c r="E88" s="75" t="s">
        <v>51</v>
      </c>
      <c r="F88" s="76" t="s">
        <v>527</v>
      </c>
      <c r="G88" s="77">
        <v>200.21</v>
      </c>
      <c r="H88" s="78" t="s">
        <v>52</v>
      </c>
    </row>
    <row r="89" spans="1:8" ht="12.75">
      <c r="A89" s="79"/>
      <c r="B89" s="79"/>
      <c r="C89" s="79"/>
      <c r="D89" s="84" t="s">
        <v>193</v>
      </c>
      <c r="E89" s="79"/>
      <c r="F89" s="85"/>
      <c r="G89" s="79"/>
      <c r="H89" s="79"/>
    </row>
    <row r="90" spans="1:8" ht="12.75">
      <c r="A90" s="75"/>
      <c r="B90" s="75"/>
      <c r="C90" s="75"/>
      <c r="D90" s="75"/>
      <c r="E90" s="75"/>
      <c r="F90" s="76" t="s">
        <v>528</v>
      </c>
      <c r="G90" s="77">
        <v>22.57</v>
      </c>
      <c r="H90" s="79"/>
    </row>
    <row r="91" spans="1:8" ht="12.75">
      <c r="A91" s="75"/>
      <c r="B91" s="75"/>
      <c r="C91" s="75"/>
      <c r="D91" s="75"/>
      <c r="E91" s="75"/>
      <c r="F91" s="76" t="s">
        <v>529</v>
      </c>
      <c r="G91" s="77">
        <v>72.21</v>
      </c>
      <c r="H91" s="79"/>
    </row>
    <row r="92" spans="1:8" ht="12.75">
      <c r="A92" s="75"/>
      <c r="B92" s="75"/>
      <c r="C92" s="75"/>
      <c r="D92" s="75"/>
      <c r="E92" s="75"/>
      <c r="F92" s="76" t="s">
        <v>530</v>
      </c>
      <c r="G92" s="77">
        <v>27.49</v>
      </c>
      <c r="H92" s="79"/>
    </row>
    <row r="93" spans="1:8" ht="12.75">
      <c r="A93" s="75"/>
      <c r="B93" s="75"/>
      <c r="C93" s="75"/>
      <c r="D93" s="75"/>
      <c r="E93" s="75"/>
      <c r="F93" s="76" t="s">
        <v>531</v>
      </c>
      <c r="G93" s="77">
        <v>46.2</v>
      </c>
      <c r="H93" s="79"/>
    </row>
    <row r="94" spans="1:8" ht="12.75">
      <c r="A94" s="75" t="s">
        <v>194</v>
      </c>
      <c r="B94" s="75"/>
      <c r="C94" s="75" t="s">
        <v>195</v>
      </c>
      <c r="D94" s="75" t="s">
        <v>196</v>
      </c>
      <c r="E94" s="75" t="s">
        <v>64</v>
      </c>
      <c r="F94" s="76"/>
      <c r="G94" s="77">
        <v>5.02843</v>
      </c>
      <c r="H94" s="78" t="s">
        <v>52</v>
      </c>
    </row>
    <row r="95" spans="1:8" ht="12.75">
      <c r="A95" s="75" t="s">
        <v>197</v>
      </c>
      <c r="B95" s="75"/>
      <c r="C95" s="75" t="s">
        <v>198</v>
      </c>
      <c r="D95" s="75" t="s">
        <v>199</v>
      </c>
      <c r="E95" s="75" t="s">
        <v>100</v>
      </c>
      <c r="F95" s="76" t="s">
        <v>540</v>
      </c>
      <c r="G95" s="77">
        <v>3</v>
      </c>
      <c r="H95" s="78" t="s">
        <v>52</v>
      </c>
    </row>
    <row r="96" spans="1:8" ht="12.75">
      <c r="A96" s="75"/>
      <c r="B96" s="75"/>
      <c r="C96" s="75"/>
      <c r="D96" s="75"/>
      <c r="E96" s="75"/>
      <c r="F96" s="76" t="s">
        <v>544</v>
      </c>
      <c r="G96" s="77">
        <v>1</v>
      </c>
      <c r="H96" s="79"/>
    </row>
    <row r="97" spans="1:8" ht="12.75">
      <c r="A97" s="75"/>
      <c r="B97" s="75"/>
      <c r="C97" s="75"/>
      <c r="D97" s="75"/>
      <c r="E97" s="75"/>
      <c r="F97" s="76" t="s">
        <v>546</v>
      </c>
      <c r="G97" s="77">
        <v>1</v>
      </c>
      <c r="H97" s="79"/>
    </row>
    <row r="98" spans="1:8" ht="12.75">
      <c r="A98" s="80" t="s">
        <v>200</v>
      </c>
      <c r="B98" s="80"/>
      <c r="C98" s="80" t="s">
        <v>201</v>
      </c>
      <c r="D98" s="80" t="s">
        <v>202</v>
      </c>
      <c r="E98" s="80" t="s">
        <v>105</v>
      </c>
      <c r="F98" s="81" t="s">
        <v>540</v>
      </c>
      <c r="G98" s="82">
        <v>2</v>
      </c>
      <c r="H98" s="83"/>
    </row>
    <row r="99" spans="1:8" ht="12.75">
      <c r="A99" s="80"/>
      <c r="B99" s="80"/>
      <c r="C99" s="80"/>
      <c r="D99" s="80"/>
      <c r="E99" s="80"/>
      <c r="F99" s="81" t="s">
        <v>544</v>
      </c>
      <c r="G99" s="82">
        <v>1</v>
      </c>
      <c r="H99" s="79"/>
    </row>
    <row r="100" spans="1:8" ht="12.75">
      <c r="A100" s="80" t="s">
        <v>203</v>
      </c>
      <c r="B100" s="80"/>
      <c r="C100" s="80" t="s">
        <v>204</v>
      </c>
      <c r="D100" s="80" t="s">
        <v>205</v>
      </c>
      <c r="E100" s="80" t="s">
        <v>105</v>
      </c>
      <c r="F100" s="81" t="s">
        <v>546</v>
      </c>
      <c r="G100" s="82">
        <v>1</v>
      </c>
      <c r="H100" s="83"/>
    </row>
    <row r="101" spans="1:8" ht="12.75">
      <c r="A101" s="75" t="s">
        <v>206</v>
      </c>
      <c r="B101" s="75"/>
      <c r="C101" s="75" t="s">
        <v>207</v>
      </c>
      <c r="D101" s="75" t="s">
        <v>208</v>
      </c>
      <c r="E101" s="75" t="s">
        <v>51</v>
      </c>
      <c r="F101" s="76" t="s">
        <v>547</v>
      </c>
      <c r="G101" s="77">
        <v>18.43</v>
      </c>
      <c r="H101" s="78"/>
    </row>
    <row r="102" spans="1:8" ht="12.75">
      <c r="A102" s="79"/>
      <c r="B102" s="79"/>
      <c r="C102" s="79"/>
      <c r="D102" s="84" t="s">
        <v>209</v>
      </c>
      <c r="E102" s="79"/>
      <c r="F102" s="85"/>
      <c r="G102" s="79"/>
      <c r="H102" s="79"/>
    </row>
    <row r="103" spans="1:8" ht="12.75">
      <c r="A103" s="75"/>
      <c r="B103" s="75"/>
      <c r="C103" s="75"/>
      <c r="D103" s="75"/>
      <c r="E103" s="75"/>
      <c r="F103" s="76" t="s">
        <v>548</v>
      </c>
      <c r="G103" s="77">
        <v>6.08</v>
      </c>
      <c r="H103" s="79"/>
    </row>
    <row r="104" spans="1:8" ht="12.75">
      <c r="A104" s="80" t="s">
        <v>210</v>
      </c>
      <c r="B104" s="80"/>
      <c r="C104" s="80" t="s">
        <v>211</v>
      </c>
      <c r="D104" s="80" t="s">
        <v>212</v>
      </c>
      <c r="E104" s="80" t="s">
        <v>51</v>
      </c>
      <c r="F104" s="81" t="s">
        <v>547</v>
      </c>
      <c r="G104" s="82">
        <v>22.12</v>
      </c>
      <c r="H104" s="83"/>
    </row>
    <row r="105" spans="1:8" ht="12.75">
      <c r="A105" s="80"/>
      <c r="B105" s="80"/>
      <c r="C105" s="80"/>
      <c r="D105" s="80"/>
      <c r="E105" s="80"/>
      <c r="F105" s="81" t="s">
        <v>548</v>
      </c>
      <c r="G105" s="82">
        <v>6.08</v>
      </c>
      <c r="H105" s="79"/>
    </row>
    <row r="106" spans="1:8" ht="12.75">
      <c r="A106" s="80"/>
      <c r="B106" s="80"/>
      <c r="C106" s="80"/>
      <c r="D106" s="80"/>
      <c r="E106" s="80"/>
      <c r="F106" s="81" t="s">
        <v>549</v>
      </c>
      <c r="G106" s="82">
        <v>3.69</v>
      </c>
      <c r="H106" s="79"/>
    </row>
    <row r="107" spans="1:8" ht="12.75">
      <c r="A107" s="80" t="s">
        <v>213</v>
      </c>
      <c r="B107" s="80"/>
      <c r="C107" s="80" t="s">
        <v>214</v>
      </c>
      <c r="D107" s="80" t="s">
        <v>215</v>
      </c>
      <c r="E107" s="80" t="s">
        <v>216</v>
      </c>
      <c r="F107" s="81" t="s">
        <v>550</v>
      </c>
      <c r="G107" s="82">
        <v>10</v>
      </c>
      <c r="H107" s="83"/>
    </row>
    <row r="108" spans="1:8" ht="12.75">
      <c r="A108" s="80"/>
      <c r="B108" s="80"/>
      <c r="C108" s="80"/>
      <c r="D108" s="80"/>
      <c r="E108" s="80"/>
      <c r="F108" s="81" t="s">
        <v>551</v>
      </c>
      <c r="G108" s="82">
        <v>3.7</v>
      </c>
      <c r="H108" s="79"/>
    </row>
    <row r="109" spans="1:8" ht="12.75">
      <c r="A109" s="80"/>
      <c r="B109" s="80"/>
      <c r="C109" s="80"/>
      <c r="D109" s="80"/>
      <c r="E109" s="80"/>
      <c r="F109" s="81" t="s">
        <v>552</v>
      </c>
      <c r="G109" s="82">
        <v>0.75</v>
      </c>
      <c r="H109" s="79"/>
    </row>
    <row r="110" spans="1:8" ht="12.75">
      <c r="A110" s="80" t="s">
        <v>217</v>
      </c>
      <c r="B110" s="80"/>
      <c r="C110" s="80" t="s">
        <v>218</v>
      </c>
      <c r="D110" s="80" t="s">
        <v>219</v>
      </c>
      <c r="E110" s="80" t="s">
        <v>130</v>
      </c>
      <c r="F110" s="81" t="s">
        <v>542</v>
      </c>
      <c r="G110" s="82">
        <v>5</v>
      </c>
      <c r="H110" s="83"/>
    </row>
    <row r="111" spans="1:8" ht="12.75">
      <c r="A111" s="80"/>
      <c r="B111" s="80"/>
      <c r="C111" s="80"/>
      <c r="D111" s="80"/>
      <c r="E111" s="80"/>
      <c r="F111" s="81" t="s">
        <v>543</v>
      </c>
      <c r="G111" s="82">
        <v>2</v>
      </c>
      <c r="H111" s="79"/>
    </row>
    <row r="112" spans="1:8" ht="12.75">
      <c r="A112" s="80" t="s">
        <v>220</v>
      </c>
      <c r="B112" s="80"/>
      <c r="C112" s="80" t="s">
        <v>221</v>
      </c>
      <c r="D112" s="80" t="s">
        <v>222</v>
      </c>
      <c r="E112" s="80" t="s">
        <v>100</v>
      </c>
      <c r="F112" s="81" t="s">
        <v>553</v>
      </c>
      <c r="G112" s="82">
        <v>16</v>
      </c>
      <c r="H112" s="83"/>
    </row>
    <row r="113" spans="1:8" ht="12.75">
      <c r="A113" s="80"/>
      <c r="B113" s="80"/>
      <c r="C113" s="80"/>
      <c r="D113" s="80"/>
      <c r="E113" s="80"/>
      <c r="F113" s="81" t="s">
        <v>554</v>
      </c>
      <c r="G113" s="82">
        <v>10</v>
      </c>
      <c r="H113" s="79"/>
    </row>
    <row r="114" spans="1:8" ht="12.75">
      <c r="A114" s="75" t="s">
        <v>223</v>
      </c>
      <c r="B114" s="75"/>
      <c r="C114" s="75" t="s">
        <v>224</v>
      </c>
      <c r="D114" s="75" t="s">
        <v>225</v>
      </c>
      <c r="E114" s="75" t="s">
        <v>216</v>
      </c>
      <c r="F114" s="76" t="s">
        <v>555</v>
      </c>
      <c r="G114" s="77">
        <v>7.4</v>
      </c>
      <c r="H114" s="78" t="s">
        <v>52</v>
      </c>
    </row>
    <row r="115" spans="1:8" ht="12.75">
      <c r="A115" s="79"/>
      <c r="B115" s="79"/>
      <c r="C115" s="79"/>
      <c r="D115" s="84" t="s">
        <v>226</v>
      </c>
      <c r="E115" s="79"/>
      <c r="F115" s="85"/>
      <c r="G115" s="79"/>
      <c r="H115" s="79"/>
    </row>
    <row r="116" spans="1:8" ht="12.75">
      <c r="A116" s="75"/>
      <c r="B116" s="75"/>
      <c r="C116" s="75"/>
      <c r="D116" s="75"/>
      <c r="E116" s="75"/>
      <c r="F116" s="76" t="s">
        <v>556</v>
      </c>
      <c r="G116" s="77">
        <v>3.5</v>
      </c>
      <c r="H116" s="79"/>
    </row>
    <row r="117" spans="1:8" ht="12.75">
      <c r="A117" s="80" t="s">
        <v>227</v>
      </c>
      <c r="B117" s="80"/>
      <c r="C117" s="80" t="s">
        <v>228</v>
      </c>
      <c r="D117" s="80" t="s">
        <v>229</v>
      </c>
      <c r="E117" s="80" t="s">
        <v>216</v>
      </c>
      <c r="F117" s="81" t="s">
        <v>555</v>
      </c>
      <c r="G117" s="82">
        <v>8.02</v>
      </c>
      <c r="H117" s="83"/>
    </row>
    <row r="118" spans="1:8" ht="12.75">
      <c r="A118" s="80"/>
      <c r="B118" s="80"/>
      <c r="C118" s="80"/>
      <c r="D118" s="80"/>
      <c r="E118" s="80"/>
      <c r="F118" s="81" t="s">
        <v>556</v>
      </c>
      <c r="G118" s="82">
        <v>3.5</v>
      </c>
      <c r="H118" s="79"/>
    </row>
    <row r="119" spans="1:8" ht="12.75">
      <c r="A119" s="80"/>
      <c r="B119" s="80"/>
      <c r="C119" s="80"/>
      <c r="D119" s="80"/>
      <c r="E119" s="80"/>
      <c r="F119" s="81" t="s">
        <v>557</v>
      </c>
      <c r="G119" s="82">
        <v>0.62</v>
      </c>
      <c r="H119" s="79"/>
    </row>
    <row r="120" spans="1:8" ht="12.75">
      <c r="A120" s="80" t="s">
        <v>230</v>
      </c>
      <c r="B120" s="80"/>
      <c r="C120" s="80" t="s">
        <v>231</v>
      </c>
      <c r="D120" s="80" t="s">
        <v>232</v>
      </c>
      <c r="E120" s="80" t="s">
        <v>100</v>
      </c>
      <c r="F120" s="81" t="s">
        <v>558</v>
      </c>
      <c r="G120" s="82">
        <v>11</v>
      </c>
      <c r="H120" s="83" t="s">
        <v>52</v>
      </c>
    </row>
    <row r="121" spans="1:8" ht="12.75">
      <c r="A121" s="80"/>
      <c r="B121" s="80"/>
      <c r="C121" s="80"/>
      <c r="D121" s="80"/>
      <c r="E121" s="80"/>
      <c r="F121" s="81" t="s">
        <v>559</v>
      </c>
      <c r="G121" s="82">
        <v>7</v>
      </c>
      <c r="H121" s="79"/>
    </row>
    <row r="122" spans="1:8" ht="12.75">
      <c r="A122" s="80" t="s">
        <v>233</v>
      </c>
      <c r="B122" s="80"/>
      <c r="C122" s="80" t="s">
        <v>234</v>
      </c>
      <c r="D122" s="80" t="s">
        <v>235</v>
      </c>
      <c r="E122" s="80" t="s">
        <v>100</v>
      </c>
      <c r="F122" s="81" t="s">
        <v>560</v>
      </c>
      <c r="G122" s="82">
        <v>1</v>
      </c>
      <c r="H122" s="83"/>
    </row>
    <row r="123" spans="1:8" ht="12.75">
      <c r="A123" s="80" t="s">
        <v>236</v>
      </c>
      <c r="B123" s="80"/>
      <c r="C123" s="80" t="s">
        <v>234</v>
      </c>
      <c r="D123" s="80" t="s">
        <v>237</v>
      </c>
      <c r="E123" s="80" t="s">
        <v>100</v>
      </c>
      <c r="F123" s="81" t="s">
        <v>561</v>
      </c>
      <c r="G123" s="82">
        <v>1</v>
      </c>
      <c r="H123" s="83"/>
    </row>
    <row r="124" spans="1:8" ht="12.75">
      <c r="A124" s="80" t="s">
        <v>238</v>
      </c>
      <c r="B124" s="80"/>
      <c r="C124" s="80" t="s">
        <v>239</v>
      </c>
      <c r="D124" s="80" t="s">
        <v>240</v>
      </c>
      <c r="E124" s="80" t="s">
        <v>100</v>
      </c>
      <c r="F124" s="81" t="s">
        <v>562</v>
      </c>
      <c r="G124" s="82">
        <v>2</v>
      </c>
      <c r="H124" s="83"/>
    </row>
    <row r="125" spans="1:8" ht="12.75">
      <c r="A125" s="75" t="s">
        <v>241</v>
      </c>
      <c r="B125" s="75"/>
      <c r="C125" s="75" t="s">
        <v>122</v>
      </c>
      <c r="D125" s="75" t="s">
        <v>123</v>
      </c>
      <c r="E125" s="75" t="s">
        <v>64</v>
      </c>
      <c r="F125" s="76"/>
      <c r="G125" s="77">
        <v>1.10444</v>
      </c>
      <c r="H125" s="78" t="s">
        <v>52</v>
      </c>
    </row>
    <row r="126" spans="1:8" ht="12.75">
      <c r="A126" s="75" t="s">
        <v>244</v>
      </c>
      <c r="B126" s="75"/>
      <c r="C126" s="75" t="s">
        <v>245</v>
      </c>
      <c r="D126" s="75" t="s">
        <v>246</v>
      </c>
      <c r="E126" s="75" t="s">
        <v>247</v>
      </c>
      <c r="F126" s="76" t="s">
        <v>563</v>
      </c>
      <c r="G126" s="77">
        <v>9</v>
      </c>
      <c r="H126" s="78" t="s">
        <v>52</v>
      </c>
    </row>
    <row r="127" spans="1:8" ht="12.75">
      <c r="A127" s="75"/>
      <c r="B127" s="75"/>
      <c r="C127" s="75"/>
      <c r="D127" s="75"/>
      <c r="E127" s="75"/>
      <c r="F127" s="76" t="s">
        <v>48</v>
      </c>
      <c r="G127" s="77">
        <v>1</v>
      </c>
      <c r="H127" s="79"/>
    </row>
    <row r="128" spans="1:8" ht="12.75">
      <c r="A128" s="75"/>
      <c r="B128" s="75"/>
      <c r="C128" s="75"/>
      <c r="D128" s="75"/>
      <c r="E128" s="75"/>
      <c r="F128" s="76" t="s">
        <v>48</v>
      </c>
      <c r="G128" s="77">
        <v>1</v>
      </c>
      <c r="H128" s="79"/>
    </row>
    <row r="129" spans="1:8" ht="12.75">
      <c r="A129" s="75" t="s">
        <v>248</v>
      </c>
      <c r="B129" s="75"/>
      <c r="C129" s="75" t="s">
        <v>249</v>
      </c>
      <c r="D129" s="75" t="s">
        <v>250</v>
      </c>
      <c r="E129" s="75" t="s">
        <v>100</v>
      </c>
      <c r="F129" s="76" t="s">
        <v>53</v>
      </c>
      <c r="G129" s="77">
        <v>2</v>
      </c>
      <c r="H129" s="78" t="s">
        <v>52</v>
      </c>
    </row>
    <row r="130" spans="1:8" ht="12.75">
      <c r="A130" s="75" t="s">
        <v>75</v>
      </c>
      <c r="B130" s="75"/>
      <c r="C130" s="75" t="s">
        <v>251</v>
      </c>
      <c r="D130" s="75" t="s">
        <v>252</v>
      </c>
      <c r="E130" s="75" t="s">
        <v>64</v>
      </c>
      <c r="F130" s="76"/>
      <c r="G130" s="77">
        <v>0.047</v>
      </c>
      <c r="H130" s="78" t="s">
        <v>52</v>
      </c>
    </row>
    <row r="131" spans="1:8" ht="12.75">
      <c r="A131" s="75" t="s">
        <v>255</v>
      </c>
      <c r="B131" s="75"/>
      <c r="C131" s="75" t="s">
        <v>256</v>
      </c>
      <c r="D131" s="75" t="s">
        <v>257</v>
      </c>
      <c r="E131" s="75" t="s">
        <v>51</v>
      </c>
      <c r="F131" s="76" t="s">
        <v>564</v>
      </c>
      <c r="G131" s="77">
        <v>12</v>
      </c>
      <c r="H131" s="78" t="s">
        <v>52</v>
      </c>
    </row>
    <row r="132" spans="1:8" ht="12.75">
      <c r="A132" s="75" t="s">
        <v>89</v>
      </c>
      <c r="B132" s="75"/>
      <c r="C132" s="75" t="s">
        <v>256</v>
      </c>
      <c r="D132" s="75" t="s">
        <v>258</v>
      </c>
      <c r="E132" s="75" t="s">
        <v>51</v>
      </c>
      <c r="F132" s="76" t="s">
        <v>565</v>
      </c>
      <c r="G132" s="77">
        <v>8.89</v>
      </c>
      <c r="H132" s="78" t="s">
        <v>52</v>
      </c>
    </row>
    <row r="133" spans="1:8" ht="12.75">
      <c r="A133" s="75"/>
      <c r="B133" s="75"/>
      <c r="C133" s="75"/>
      <c r="D133" s="75"/>
      <c r="E133" s="75"/>
      <c r="F133" s="76" t="s">
        <v>566</v>
      </c>
      <c r="G133" s="77">
        <v>3.55</v>
      </c>
      <c r="H133" s="79"/>
    </row>
    <row r="134" spans="1:8" ht="12.75">
      <c r="A134" s="80" t="s">
        <v>95</v>
      </c>
      <c r="B134" s="80"/>
      <c r="C134" s="80" t="s">
        <v>259</v>
      </c>
      <c r="D134" s="80" t="s">
        <v>260</v>
      </c>
      <c r="E134" s="80" t="s">
        <v>261</v>
      </c>
      <c r="F134" s="81" t="s">
        <v>567</v>
      </c>
      <c r="G134" s="82">
        <v>204</v>
      </c>
      <c r="H134" s="83"/>
    </row>
    <row r="135" spans="1:8" ht="12.75">
      <c r="A135" s="80" t="s">
        <v>262</v>
      </c>
      <c r="B135" s="80"/>
      <c r="C135" s="80" t="s">
        <v>259</v>
      </c>
      <c r="D135" s="80" t="s">
        <v>263</v>
      </c>
      <c r="E135" s="80" t="s">
        <v>261</v>
      </c>
      <c r="F135" s="81" t="s">
        <v>568</v>
      </c>
      <c r="G135" s="82">
        <v>43.8</v>
      </c>
      <c r="H135" s="83"/>
    </row>
    <row r="136" spans="1:8" ht="12.75">
      <c r="A136" s="80"/>
      <c r="B136" s="80"/>
      <c r="C136" s="80"/>
      <c r="D136" s="80"/>
      <c r="E136" s="80"/>
      <c r="F136" s="81" t="s">
        <v>569</v>
      </c>
      <c r="G136" s="82">
        <v>30.18</v>
      </c>
      <c r="H136" s="79"/>
    </row>
    <row r="137" spans="1:8" ht="12.75">
      <c r="A137" s="75" t="s">
        <v>264</v>
      </c>
      <c r="B137" s="75"/>
      <c r="C137" s="75" t="s">
        <v>265</v>
      </c>
      <c r="D137" s="75" t="s">
        <v>266</v>
      </c>
      <c r="E137" s="75" t="s">
        <v>51</v>
      </c>
      <c r="F137" s="76" t="s">
        <v>564</v>
      </c>
      <c r="G137" s="77">
        <v>20.89</v>
      </c>
      <c r="H137" s="78" t="s">
        <v>52</v>
      </c>
    </row>
    <row r="138" spans="1:8" ht="12.75">
      <c r="A138" s="79"/>
      <c r="B138" s="79"/>
      <c r="C138" s="79"/>
      <c r="D138" s="84" t="s">
        <v>267</v>
      </c>
      <c r="E138" s="79"/>
      <c r="F138" s="85"/>
      <c r="G138" s="79"/>
      <c r="H138" s="79"/>
    </row>
    <row r="139" spans="1:8" ht="12.75">
      <c r="A139" s="75"/>
      <c r="B139" s="75"/>
      <c r="C139" s="75"/>
      <c r="D139" s="75"/>
      <c r="E139" s="75"/>
      <c r="F139" s="76" t="s">
        <v>570</v>
      </c>
      <c r="G139" s="77">
        <v>5.34</v>
      </c>
      <c r="H139" s="79"/>
    </row>
    <row r="140" spans="1:8" ht="12.75">
      <c r="A140" s="75"/>
      <c r="B140" s="75"/>
      <c r="C140" s="75"/>
      <c r="D140" s="75"/>
      <c r="E140" s="75"/>
      <c r="F140" s="76" t="s">
        <v>566</v>
      </c>
      <c r="G140" s="77">
        <v>3.55</v>
      </c>
      <c r="H140" s="79"/>
    </row>
    <row r="141" spans="1:8" ht="12.75">
      <c r="A141" s="75" t="s">
        <v>268</v>
      </c>
      <c r="B141" s="75"/>
      <c r="C141" s="75" t="s">
        <v>269</v>
      </c>
      <c r="D141" s="75" t="s">
        <v>270</v>
      </c>
      <c r="E141" s="75" t="s">
        <v>51</v>
      </c>
      <c r="F141" s="76" t="s">
        <v>564</v>
      </c>
      <c r="G141" s="77">
        <v>20.89</v>
      </c>
      <c r="H141" s="78" t="s">
        <v>52</v>
      </c>
    </row>
    <row r="142" spans="1:8" ht="12.75">
      <c r="A142" s="75"/>
      <c r="B142" s="75"/>
      <c r="C142" s="75"/>
      <c r="D142" s="75"/>
      <c r="E142" s="75"/>
      <c r="F142" s="76" t="s">
        <v>570</v>
      </c>
      <c r="G142" s="77">
        <v>5.34</v>
      </c>
      <c r="H142" s="79"/>
    </row>
    <row r="143" spans="1:8" ht="12.75">
      <c r="A143" s="75"/>
      <c r="B143" s="75"/>
      <c r="C143" s="75"/>
      <c r="D143" s="75"/>
      <c r="E143" s="75"/>
      <c r="F143" s="76" t="s">
        <v>566</v>
      </c>
      <c r="G143" s="77">
        <v>3.55</v>
      </c>
      <c r="H143" s="79"/>
    </row>
    <row r="144" spans="1:8" ht="12.75">
      <c r="A144" s="80" t="s">
        <v>271</v>
      </c>
      <c r="B144" s="80"/>
      <c r="C144" s="80" t="s">
        <v>272</v>
      </c>
      <c r="D144" s="80" t="s">
        <v>273</v>
      </c>
      <c r="E144" s="80" t="s">
        <v>51</v>
      </c>
      <c r="F144" s="81" t="s">
        <v>564</v>
      </c>
      <c r="G144" s="82">
        <v>24.02</v>
      </c>
      <c r="H144" s="83"/>
    </row>
    <row r="145" spans="1:8" ht="12.75">
      <c r="A145" s="80"/>
      <c r="B145" s="80"/>
      <c r="C145" s="80"/>
      <c r="D145" s="80"/>
      <c r="E145" s="80"/>
      <c r="F145" s="81" t="s">
        <v>570</v>
      </c>
      <c r="G145" s="82">
        <v>5.34</v>
      </c>
      <c r="H145" s="79"/>
    </row>
    <row r="146" spans="1:8" ht="12.75">
      <c r="A146" s="80"/>
      <c r="B146" s="80"/>
      <c r="C146" s="80"/>
      <c r="D146" s="80"/>
      <c r="E146" s="80"/>
      <c r="F146" s="81" t="s">
        <v>566</v>
      </c>
      <c r="G146" s="82">
        <v>3.55</v>
      </c>
      <c r="H146" s="79"/>
    </row>
    <row r="147" spans="1:8" ht="12.75">
      <c r="A147" s="80"/>
      <c r="B147" s="80"/>
      <c r="C147" s="80"/>
      <c r="D147" s="80"/>
      <c r="E147" s="80"/>
      <c r="F147" s="81" t="s">
        <v>571</v>
      </c>
      <c r="G147" s="82">
        <v>3.13</v>
      </c>
      <c r="H147" s="79"/>
    </row>
    <row r="148" spans="1:8" ht="12.75">
      <c r="A148" s="75" t="s">
        <v>274</v>
      </c>
      <c r="B148" s="75"/>
      <c r="C148" s="75" t="s">
        <v>275</v>
      </c>
      <c r="D148" s="75" t="s">
        <v>276</v>
      </c>
      <c r="E148" s="75" t="s">
        <v>51</v>
      </c>
      <c r="F148" s="76" t="s">
        <v>564</v>
      </c>
      <c r="G148" s="77">
        <v>20.89</v>
      </c>
      <c r="H148" s="78" t="s">
        <v>52</v>
      </c>
    </row>
    <row r="149" spans="1:8" ht="12.75">
      <c r="A149" s="75"/>
      <c r="B149" s="75"/>
      <c r="C149" s="75"/>
      <c r="D149" s="75"/>
      <c r="E149" s="75"/>
      <c r="F149" s="76" t="s">
        <v>570</v>
      </c>
      <c r="G149" s="77">
        <v>5.34</v>
      </c>
      <c r="H149" s="79"/>
    </row>
    <row r="150" spans="1:8" ht="12.75">
      <c r="A150" s="75"/>
      <c r="B150" s="75"/>
      <c r="C150" s="75"/>
      <c r="D150" s="75"/>
      <c r="E150" s="75"/>
      <c r="F150" s="76" t="s">
        <v>566</v>
      </c>
      <c r="G150" s="77">
        <v>3.55</v>
      </c>
      <c r="H150" s="79"/>
    </row>
    <row r="151" spans="1:8" ht="12.75">
      <c r="A151" s="80" t="s">
        <v>277</v>
      </c>
      <c r="B151" s="80"/>
      <c r="C151" s="80" t="s">
        <v>278</v>
      </c>
      <c r="D151" s="80" t="s">
        <v>279</v>
      </c>
      <c r="E151" s="80" t="s">
        <v>261</v>
      </c>
      <c r="F151" s="81" t="s">
        <v>572</v>
      </c>
      <c r="G151" s="82">
        <v>8.15</v>
      </c>
      <c r="H151" s="83" t="s">
        <v>52</v>
      </c>
    </row>
    <row r="152" spans="1:8" ht="12.75">
      <c r="A152" s="80"/>
      <c r="B152" s="80"/>
      <c r="C152" s="80"/>
      <c r="D152" s="80"/>
      <c r="E152" s="80"/>
      <c r="F152" s="81" t="s">
        <v>573</v>
      </c>
      <c r="G152" s="82">
        <v>1.87</v>
      </c>
      <c r="H152" s="79"/>
    </row>
    <row r="153" spans="1:8" ht="12.75">
      <c r="A153" s="80"/>
      <c r="B153" s="80"/>
      <c r="C153" s="80"/>
      <c r="D153" s="80"/>
      <c r="E153" s="80"/>
      <c r="F153" s="81" t="s">
        <v>574</v>
      </c>
      <c r="G153" s="82">
        <v>1.24</v>
      </c>
      <c r="H153" s="79"/>
    </row>
    <row r="154" spans="1:8" ht="12.75">
      <c r="A154" s="80"/>
      <c r="B154" s="80"/>
      <c r="C154" s="80"/>
      <c r="D154" s="80"/>
      <c r="E154" s="80"/>
      <c r="F154" s="81" t="s">
        <v>575</v>
      </c>
      <c r="G154" s="82">
        <v>0.84</v>
      </c>
      <c r="H154" s="79"/>
    </row>
    <row r="155" spans="1:8" ht="12.75">
      <c r="A155" s="75" t="s">
        <v>280</v>
      </c>
      <c r="B155" s="75"/>
      <c r="C155" s="75" t="s">
        <v>281</v>
      </c>
      <c r="D155" s="75" t="s">
        <v>282</v>
      </c>
      <c r="E155" s="75" t="s">
        <v>216</v>
      </c>
      <c r="F155" s="76" t="s">
        <v>576</v>
      </c>
      <c r="G155" s="77">
        <v>1.6</v>
      </c>
      <c r="H155" s="78" t="s">
        <v>52</v>
      </c>
    </row>
    <row r="156" spans="1:8" ht="12.75">
      <c r="A156" s="79"/>
      <c r="B156" s="79"/>
      <c r="C156" s="79"/>
      <c r="D156" s="84" t="s">
        <v>283</v>
      </c>
      <c r="E156" s="79"/>
      <c r="F156" s="85"/>
      <c r="G156" s="79"/>
      <c r="H156" s="79"/>
    </row>
    <row r="157" spans="1:8" ht="12.75">
      <c r="A157" s="75"/>
      <c r="B157" s="75"/>
      <c r="C157" s="75"/>
      <c r="D157" s="75"/>
      <c r="E157" s="75"/>
      <c r="F157" s="76" t="s">
        <v>577</v>
      </c>
      <c r="G157" s="77">
        <v>0.8</v>
      </c>
      <c r="H157" s="79"/>
    </row>
    <row r="158" spans="1:8" ht="12.75">
      <c r="A158" s="75" t="s">
        <v>284</v>
      </c>
      <c r="B158" s="75"/>
      <c r="C158" s="75" t="s">
        <v>285</v>
      </c>
      <c r="D158" s="75" t="s">
        <v>286</v>
      </c>
      <c r="E158" s="75" t="s">
        <v>64</v>
      </c>
      <c r="F158" s="76"/>
      <c r="G158" s="77">
        <v>0.74074</v>
      </c>
      <c r="H158" s="78" t="s">
        <v>52</v>
      </c>
    </row>
    <row r="159" spans="1:8" ht="12.75">
      <c r="A159" s="75" t="s">
        <v>289</v>
      </c>
      <c r="B159" s="75"/>
      <c r="C159" s="75" t="s">
        <v>290</v>
      </c>
      <c r="D159" s="75" t="s">
        <v>291</v>
      </c>
      <c r="E159" s="75" t="s">
        <v>51</v>
      </c>
      <c r="F159" s="76" t="s">
        <v>578</v>
      </c>
      <c r="G159" s="77">
        <v>52.86</v>
      </c>
      <c r="H159" s="78"/>
    </row>
    <row r="160" spans="1:8" ht="12.75">
      <c r="A160" s="79"/>
      <c r="B160" s="79"/>
      <c r="C160" s="79"/>
      <c r="D160" s="84" t="s">
        <v>292</v>
      </c>
      <c r="E160" s="79"/>
      <c r="F160" s="85"/>
      <c r="G160" s="79"/>
      <c r="H160" s="79"/>
    </row>
    <row r="161" spans="1:8" ht="12.75">
      <c r="A161" s="75"/>
      <c r="B161" s="75"/>
      <c r="C161" s="75"/>
      <c r="D161" s="75"/>
      <c r="E161" s="75"/>
      <c r="F161" s="76" t="s">
        <v>579</v>
      </c>
      <c r="G161" s="77">
        <v>17.25</v>
      </c>
      <c r="H161" s="79"/>
    </row>
    <row r="162" spans="1:8" ht="12.75">
      <c r="A162" s="75"/>
      <c r="B162" s="75"/>
      <c r="C162" s="75"/>
      <c r="D162" s="75"/>
      <c r="E162" s="75"/>
      <c r="F162" s="76" t="s">
        <v>580</v>
      </c>
      <c r="G162" s="77">
        <v>20.39</v>
      </c>
      <c r="H162" s="79"/>
    </row>
    <row r="163" spans="1:8" ht="12.75">
      <c r="A163" s="75" t="s">
        <v>293</v>
      </c>
      <c r="B163" s="75"/>
      <c r="C163" s="75" t="s">
        <v>294</v>
      </c>
      <c r="D163" s="75" t="s">
        <v>295</v>
      </c>
      <c r="E163" s="75" t="s">
        <v>51</v>
      </c>
      <c r="F163" s="76" t="s">
        <v>581</v>
      </c>
      <c r="G163" s="77">
        <v>142.16</v>
      </c>
      <c r="H163" s="78"/>
    </row>
    <row r="164" spans="1:8" ht="12.75">
      <c r="A164" s="79"/>
      <c r="B164" s="79"/>
      <c r="C164" s="79"/>
      <c r="D164" s="84" t="s">
        <v>296</v>
      </c>
      <c r="E164" s="79"/>
      <c r="F164" s="85"/>
      <c r="G164" s="79"/>
      <c r="H164" s="79"/>
    </row>
    <row r="165" spans="1:8" ht="12.75">
      <c r="A165" s="75"/>
      <c r="B165" s="75"/>
      <c r="C165" s="75"/>
      <c r="D165" s="75"/>
      <c r="E165" s="75"/>
      <c r="F165" s="76" t="s">
        <v>582</v>
      </c>
      <c r="G165" s="77">
        <v>15.46</v>
      </c>
      <c r="H165" s="79"/>
    </row>
    <row r="166" spans="1:8" ht="12.75">
      <c r="A166" s="75"/>
      <c r="B166" s="75"/>
      <c r="C166" s="75"/>
      <c r="D166" s="75"/>
      <c r="E166" s="75"/>
      <c r="F166" s="76" t="s">
        <v>583</v>
      </c>
      <c r="G166" s="77">
        <v>51.54</v>
      </c>
      <c r="H166" s="79"/>
    </row>
    <row r="167" spans="1:8" ht="12.75">
      <c r="A167" s="75"/>
      <c r="B167" s="75"/>
      <c r="C167" s="75"/>
      <c r="D167" s="75"/>
      <c r="E167" s="75"/>
      <c r="F167" s="76" t="s">
        <v>584</v>
      </c>
      <c r="G167" s="77">
        <v>69.34</v>
      </c>
      <c r="H167" s="79"/>
    </row>
    <row r="168" spans="1:8" ht="12.75">
      <c r="A168" s="75"/>
      <c r="B168" s="75"/>
      <c r="C168" s="75"/>
      <c r="D168" s="75"/>
      <c r="E168" s="75"/>
      <c r="F168" s="76" t="s">
        <v>585</v>
      </c>
      <c r="G168" s="77">
        <v>1.4</v>
      </c>
      <c r="H168" s="79"/>
    </row>
    <row r="169" spans="1:8" ht="12.75">
      <c r="A169" s="75" t="s">
        <v>297</v>
      </c>
      <c r="B169" s="75"/>
      <c r="C169" s="75" t="s">
        <v>298</v>
      </c>
      <c r="D169" s="75" t="s">
        <v>299</v>
      </c>
      <c r="E169" s="75" t="s">
        <v>64</v>
      </c>
      <c r="F169" s="76"/>
      <c r="G169" s="77">
        <v>0.19034</v>
      </c>
      <c r="H169" s="78" t="s">
        <v>52</v>
      </c>
    </row>
    <row r="170" spans="1:8" ht="12.75">
      <c r="A170" s="75" t="s">
        <v>302</v>
      </c>
      <c r="B170" s="75"/>
      <c r="C170" s="75" t="s">
        <v>303</v>
      </c>
      <c r="D170" s="75" t="s">
        <v>304</v>
      </c>
      <c r="E170" s="75" t="s">
        <v>51</v>
      </c>
      <c r="F170" s="76" t="s">
        <v>586</v>
      </c>
      <c r="G170" s="77">
        <v>52.13</v>
      </c>
      <c r="H170" s="78" t="s">
        <v>52</v>
      </c>
    </row>
    <row r="171" spans="1:8" ht="12.75">
      <c r="A171" s="75"/>
      <c r="B171" s="75"/>
      <c r="C171" s="75"/>
      <c r="D171" s="75"/>
      <c r="E171" s="75"/>
      <c r="F171" s="76" t="s">
        <v>587</v>
      </c>
      <c r="G171" s="77">
        <v>15.35</v>
      </c>
      <c r="H171" s="79"/>
    </row>
    <row r="172" spans="1:8" ht="12.75">
      <c r="A172" s="75"/>
      <c r="B172" s="75"/>
      <c r="C172" s="75"/>
      <c r="D172" s="75"/>
      <c r="E172" s="75"/>
      <c r="F172" s="76" t="s">
        <v>588</v>
      </c>
      <c r="G172" s="77">
        <v>14.36</v>
      </c>
      <c r="H172" s="79"/>
    </row>
    <row r="173" spans="1:8" ht="12.75">
      <c r="A173" s="75" t="s">
        <v>305</v>
      </c>
      <c r="B173" s="75"/>
      <c r="C173" s="75" t="s">
        <v>306</v>
      </c>
      <c r="D173" s="75" t="s">
        <v>307</v>
      </c>
      <c r="E173" s="75" t="s">
        <v>51</v>
      </c>
      <c r="F173" s="76" t="s">
        <v>586</v>
      </c>
      <c r="G173" s="77">
        <v>52.13</v>
      </c>
      <c r="H173" s="78" t="s">
        <v>52</v>
      </c>
    </row>
    <row r="174" spans="1:8" ht="12.75">
      <c r="A174" s="75"/>
      <c r="B174" s="75"/>
      <c r="C174" s="75"/>
      <c r="D174" s="75"/>
      <c r="E174" s="75"/>
      <c r="F174" s="76" t="s">
        <v>587</v>
      </c>
      <c r="G174" s="77">
        <v>15.35</v>
      </c>
      <c r="H174" s="79"/>
    </row>
    <row r="175" spans="1:8" ht="12.75">
      <c r="A175" s="75"/>
      <c r="B175" s="75"/>
      <c r="C175" s="75"/>
      <c r="D175" s="75"/>
      <c r="E175" s="75"/>
      <c r="F175" s="76" t="s">
        <v>588</v>
      </c>
      <c r="G175" s="77">
        <v>14.36</v>
      </c>
      <c r="H175" s="79"/>
    </row>
    <row r="176" spans="1:8" ht="12.75">
      <c r="A176" s="75" t="s">
        <v>308</v>
      </c>
      <c r="B176" s="75"/>
      <c r="C176" s="75" t="s">
        <v>309</v>
      </c>
      <c r="D176" s="75" t="s">
        <v>310</v>
      </c>
      <c r="E176" s="75" t="s">
        <v>216</v>
      </c>
      <c r="F176" s="76" t="s">
        <v>589</v>
      </c>
      <c r="G176" s="77">
        <v>13.5</v>
      </c>
      <c r="H176" s="78" t="s">
        <v>52</v>
      </c>
    </row>
    <row r="177" spans="1:8" ht="12.75">
      <c r="A177" s="79"/>
      <c r="B177" s="79"/>
      <c r="C177" s="79"/>
      <c r="D177" s="84" t="s">
        <v>311</v>
      </c>
      <c r="E177" s="79"/>
      <c r="F177" s="85"/>
      <c r="G177" s="79"/>
      <c r="H177" s="79"/>
    </row>
    <row r="178" spans="1:8" ht="12.75">
      <c r="A178" s="75"/>
      <c r="B178" s="75"/>
      <c r="C178" s="75"/>
      <c r="D178" s="75"/>
      <c r="E178" s="75"/>
      <c r="F178" s="76" t="s">
        <v>590</v>
      </c>
      <c r="G178" s="77">
        <v>4.2</v>
      </c>
      <c r="H178" s="79"/>
    </row>
    <row r="179" spans="1:8" ht="12.75">
      <c r="A179" s="75"/>
      <c r="B179" s="75"/>
      <c r="C179" s="75"/>
      <c r="D179" s="75"/>
      <c r="E179" s="75"/>
      <c r="F179" s="76" t="s">
        <v>591</v>
      </c>
      <c r="G179" s="77">
        <v>2.97</v>
      </c>
      <c r="H179" s="79"/>
    </row>
    <row r="180" spans="1:8" ht="12.75">
      <c r="A180" s="75"/>
      <c r="B180" s="75"/>
      <c r="C180" s="75"/>
      <c r="D180" s="75"/>
      <c r="E180" s="75"/>
      <c r="F180" s="76" t="s">
        <v>592</v>
      </c>
      <c r="G180" s="77">
        <v>2.03</v>
      </c>
      <c r="H180" s="79"/>
    </row>
    <row r="181" spans="1:8" ht="12.75">
      <c r="A181" s="75" t="s">
        <v>312</v>
      </c>
      <c r="B181" s="75"/>
      <c r="C181" s="75" t="s">
        <v>313</v>
      </c>
      <c r="D181" s="75" t="s">
        <v>314</v>
      </c>
      <c r="E181" s="75" t="s">
        <v>51</v>
      </c>
      <c r="F181" s="76" t="s">
        <v>593</v>
      </c>
      <c r="G181" s="77">
        <v>12.7</v>
      </c>
      <c r="H181" s="78" t="s">
        <v>52</v>
      </c>
    </row>
    <row r="182" spans="1:8" ht="12.75">
      <c r="A182" s="75" t="s">
        <v>315</v>
      </c>
      <c r="B182" s="75"/>
      <c r="C182" s="75" t="s">
        <v>195</v>
      </c>
      <c r="D182" s="75" t="s">
        <v>196</v>
      </c>
      <c r="E182" s="75" t="s">
        <v>64</v>
      </c>
      <c r="F182" s="76"/>
      <c r="G182" s="77">
        <v>0.254</v>
      </c>
      <c r="H182" s="78" t="s">
        <v>52</v>
      </c>
    </row>
    <row r="183" spans="1:8" ht="12.75">
      <c r="A183" s="75" t="s">
        <v>316</v>
      </c>
      <c r="B183" s="75"/>
      <c r="C183" s="75" t="s">
        <v>317</v>
      </c>
      <c r="D183" s="75" t="s">
        <v>318</v>
      </c>
      <c r="E183" s="75" t="s">
        <v>216</v>
      </c>
      <c r="F183" s="76" t="s">
        <v>594</v>
      </c>
      <c r="G183" s="77">
        <v>116.05</v>
      </c>
      <c r="H183" s="78" t="s">
        <v>52</v>
      </c>
    </row>
    <row r="184" spans="1:8" ht="12.75">
      <c r="A184" s="75"/>
      <c r="B184" s="75"/>
      <c r="C184" s="75"/>
      <c r="D184" s="75"/>
      <c r="E184" s="75"/>
      <c r="F184" s="76" t="s">
        <v>595</v>
      </c>
      <c r="G184" s="77">
        <v>20.6</v>
      </c>
      <c r="H184" s="79"/>
    </row>
    <row r="185" spans="1:8" ht="12.75">
      <c r="A185" s="75"/>
      <c r="B185" s="75"/>
      <c r="C185" s="75"/>
      <c r="D185" s="75"/>
      <c r="E185" s="75"/>
      <c r="F185" s="76" t="s">
        <v>596</v>
      </c>
      <c r="G185" s="77">
        <v>37.45</v>
      </c>
      <c r="H185" s="79"/>
    </row>
    <row r="186" spans="1:8" ht="12.75">
      <c r="A186" s="75"/>
      <c r="B186" s="75"/>
      <c r="C186" s="75"/>
      <c r="D186" s="75"/>
      <c r="E186" s="75"/>
      <c r="F186" s="76" t="s">
        <v>597</v>
      </c>
      <c r="G186" s="77">
        <v>11.1</v>
      </c>
      <c r="H186" s="79"/>
    </row>
    <row r="187" spans="1:8" ht="12.75">
      <c r="A187" s="75"/>
      <c r="B187" s="75"/>
      <c r="C187" s="75"/>
      <c r="D187" s="75"/>
      <c r="E187" s="75"/>
      <c r="F187" s="76" t="s">
        <v>598</v>
      </c>
      <c r="G187" s="77">
        <v>19.9</v>
      </c>
      <c r="H187" s="79"/>
    </row>
    <row r="188" spans="1:8" ht="12.75">
      <c r="A188" s="80" t="s">
        <v>319</v>
      </c>
      <c r="B188" s="80"/>
      <c r="C188" s="80" t="s">
        <v>320</v>
      </c>
      <c r="D188" s="80" t="s">
        <v>321</v>
      </c>
      <c r="E188" s="80" t="s">
        <v>216</v>
      </c>
      <c r="F188" s="81" t="s">
        <v>594</v>
      </c>
      <c r="G188" s="82">
        <v>127.66</v>
      </c>
      <c r="H188" s="83"/>
    </row>
    <row r="189" spans="1:8" ht="12.75">
      <c r="A189" s="80"/>
      <c r="B189" s="80"/>
      <c r="C189" s="80"/>
      <c r="D189" s="80"/>
      <c r="E189" s="80"/>
      <c r="F189" s="81" t="s">
        <v>595</v>
      </c>
      <c r="G189" s="82">
        <v>20.6</v>
      </c>
      <c r="H189" s="79"/>
    </row>
    <row r="190" spans="1:8" ht="12.75">
      <c r="A190" s="80"/>
      <c r="B190" s="80"/>
      <c r="C190" s="80"/>
      <c r="D190" s="80"/>
      <c r="E190" s="80"/>
      <c r="F190" s="81" t="s">
        <v>596</v>
      </c>
      <c r="G190" s="82">
        <v>37.45</v>
      </c>
      <c r="H190" s="79"/>
    </row>
    <row r="191" spans="1:8" ht="12.75">
      <c r="A191" s="80"/>
      <c r="B191" s="80"/>
      <c r="C191" s="80"/>
      <c r="D191" s="80"/>
      <c r="E191" s="80"/>
      <c r="F191" s="81" t="s">
        <v>597</v>
      </c>
      <c r="G191" s="82">
        <v>11.1</v>
      </c>
      <c r="H191" s="79"/>
    </row>
    <row r="192" spans="1:8" ht="12.75">
      <c r="A192" s="80"/>
      <c r="B192" s="80"/>
      <c r="C192" s="80"/>
      <c r="D192" s="80"/>
      <c r="E192" s="80"/>
      <c r="F192" s="81" t="s">
        <v>598</v>
      </c>
      <c r="G192" s="82">
        <v>19.9</v>
      </c>
      <c r="H192" s="79"/>
    </row>
    <row r="193" spans="1:8" ht="12.75">
      <c r="A193" s="80"/>
      <c r="B193" s="80"/>
      <c r="C193" s="80"/>
      <c r="D193" s="80"/>
      <c r="E193" s="80"/>
      <c r="F193" s="81" t="s">
        <v>599</v>
      </c>
      <c r="G193" s="82">
        <v>11.61</v>
      </c>
      <c r="H193" s="79"/>
    </row>
    <row r="194" spans="1:8" ht="12.75">
      <c r="A194" s="75" t="s">
        <v>322</v>
      </c>
      <c r="B194" s="75"/>
      <c r="C194" s="75" t="s">
        <v>323</v>
      </c>
      <c r="D194" s="75" t="s">
        <v>324</v>
      </c>
      <c r="E194" s="75" t="s">
        <v>64</v>
      </c>
      <c r="F194" s="76"/>
      <c r="G194" s="77">
        <v>0.04636</v>
      </c>
      <c r="H194" s="78" t="s">
        <v>52</v>
      </c>
    </row>
    <row r="195" spans="1:8" ht="12.75">
      <c r="A195" s="75" t="s">
        <v>327</v>
      </c>
      <c r="B195" s="75"/>
      <c r="C195" s="75" t="s">
        <v>328</v>
      </c>
      <c r="D195" s="75" t="s">
        <v>329</v>
      </c>
      <c r="E195" s="75" t="s">
        <v>51</v>
      </c>
      <c r="F195" s="76" t="s">
        <v>600</v>
      </c>
      <c r="G195" s="77">
        <v>88.7</v>
      </c>
      <c r="H195" s="78" t="s">
        <v>52</v>
      </c>
    </row>
    <row r="196" spans="1:8" ht="12.75">
      <c r="A196" s="75"/>
      <c r="B196" s="75"/>
      <c r="C196" s="75"/>
      <c r="D196" s="75"/>
      <c r="E196" s="75"/>
      <c r="F196" s="76" t="s">
        <v>593</v>
      </c>
      <c r="G196" s="77">
        <v>12.7</v>
      </c>
      <c r="H196" s="79"/>
    </row>
    <row r="197" spans="1:8" ht="12.75">
      <c r="A197" s="75"/>
      <c r="B197" s="75"/>
      <c r="C197" s="75"/>
      <c r="D197" s="75"/>
      <c r="E197" s="75"/>
      <c r="F197" s="76" t="s">
        <v>601</v>
      </c>
      <c r="G197" s="77">
        <v>15.5</v>
      </c>
      <c r="H197" s="79"/>
    </row>
    <row r="198" spans="1:8" ht="12.75">
      <c r="A198" s="75"/>
      <c r="B198" s="75"/>
      <c r="C198" s="75"/>
      <c r="D198" s="75"/>
      <c r="E198" s="75"/>
      <c r="F198" s="76" t="s">
        <v>602</v>
      </c>
      <c r="G198" s="77">
        <v>14.1</v>
      </c>
      <c r="H198" s="79"/>
    </row>
    <row r="199" spans="1:8" ht="12.75">
      <c r="A199" s="75"/>
      <c r="B199" s="75"/>
      <c r="C199" s="75"/>
      <c r="D199" s="75"/>
      <c r="E199" s="75"/>
      <c r="F199" s="76" t="s">
        <v>603</v>
      </c>
      <c r="G199" s="77">
        <v>28.8</v>
      </c>
      <c r="H199" s="79"/>
    </row>
    <row r="200" spans="1:8" ht="12.75">
      <c r="A200" s="75" t="s">
        <v>330</v>
      </c>
      <c r="B200" s="75"/>
      <c r="C200" s="75" t="s">
        <v>195</v>
      </c>
      <c r="D200" s="75" t="s">
        <v>196</v>
      </c>
      <c r="E200" s="75" t="s">
        <v>64</v>
      </c>
      <c r="F200" s="76"/>
      <c r="G200" s="77">
        <v>0.0887</v>
      </c>
      <c r="H200" s="78" t="s">
        <v>52</v>
      </c>
    </row>
    <row r="201" spans="1:8" ht="12.75">
      <c r="A201" s="75" t="s">
        <v>333</v>
      </c>
      <c r="B201" s="75"/>
      <c r="C201" s="75" t="s">
        <v>334</v>
      </c>
      <c r="D201" s="75" t="s">
        <v>335</v>
      </c>
      <c r="E201" s="75" t="s">
        <v>51</v>
      </c>
      <c r="F201" s="76" t="s">
        <v>604</v>
      </c>
      <c r="G201" s="77">
        <v>47.22</v>
      </c>
      <c r="H201" s="78" t="s">
        <v>52</v>
      </c>
    </row>
    <row r="202" spans="1:8" ht="12.75">
      <c r="A202" s="79"/>
      <c r="B202" s="79"/>
      <c r="C202" s="79"/>
      <c r="D202" s="84" t="s">
        <v>336</v>
      </c>
      <c r="E202" s="79"/>
      <c r="F202" s="85"/>
      <c r="G202" s="79"/>
      <c r="H202" s="79"/>
    </row>
    <row r="203" spans="1:8" ht="12.75">
      <c r="A203" s="75"/>
      <c r="B203" s="75"/>
      <c r="C203" s="75"/>
      <c r="D203" s="75"/>
      <c r="E203" s="75"/>
      <c r="F203" s="76" t="s">
        <v>605</v>
      </c>
      <c r="G203" s="77">
        <v>14.05</v>
      </c>
      <c r="H203" s="79"/>
    </row>
    <row r="204" spans="1:8" ht="12.75">
      <c r="A204" s="75"/>
      <c r="B204" s="75"/>
      <c r="C204" s="75"/>
      <c r="D204" s="75"/>
      <c r="E204" s="75"/>
      <c r="F204" s="76" t="s">
        <v>606</v>
      </c>
      <c r="G204" s="77">
        <v>11.32</v>
      </c>
      <c r="H204" s="79"/>
    </row>
    <row r="205" spans="1:8" ht="12.75">
      <c r="A205" s="75" t="s">
        <v>337</v>
      </c>
      <c r="B205" s="75"/>
      <c r="C205" s="75" t="s">
        <v>338</v>
      </c>
      <c r="D205" s="75" t="s">
        <v>339</v>
      </c>
      <c r="E205" s="75" t="s">
        <v>51</v>
      </c>
      <c r="F205" s="76" t="s">
        <v>604</v>
      </c>
      <c r="G205" s="77">
        <v>47.22</v>
      </c>
      <c r="H205" s="78" t="s">
        <v>52</v>
      </c>
    </row>
    <row r="206" spans="1:8" ht="12.75">
      <c r="A206" s="79"/>
      <c r="B206" s="79"/>
      <c r="C206" s="79"/>
      <c r="D206" s="84" t="s">
        <v>267</v>
      </c>
      <c r="E206" s="79"/>
      <c r="F206" s="85"/>
      <c r="G206" s="79"/>
      <c r="H206" s="79"/>
    </row>
    <row r="207" spans="1:8" ht="12.75">
      <c r="A207" s="75"/>
      <c r="B207" s="75"/>
      <c r="C207" s="75"/>
      <c r="D207" s="75"/>
      <c r="E207" s="75"/>
      <c r="F207" s="76" t="s">
        <v>605</v>
      </c>
      <c r="G207" s="77">
        <v>14.05</v>
      </c>
      <c r="H207" s="79"/>
    </row>
    <row r="208" spans="1:8" ht="12.75">
      <c r="A208" s="75"/>
      <c r="B208" s="75"/>
      <c r="C208" s="75"/>
      <c r="D208" s="75"/>
      <c r="E208" s="75"/>
      <c r="F208" s="76" t="s">
        <v>606</v>
      </c>
      <c r="G208" s="77">
        <v>11.32</v>
      </c>
      <c r="H208" s="79"/>
    </row>
    <row r="209" spans="1:8" ht="12.75">
      <c r="A209" s="75" t="s">
        <v>340</v>
      </c>
      <c r="B209" s="75"/>
      <c r="C209" s="75" t="s">
        <v>341</v>
      </c>
      <c r="D209" s="75" t="s">
        <v>342</v>
      </c>
      <c r="E209" s="75" t="s">
        <v>51</v>
      </c>
      <c r="F209" s="76" t="s">
        <v>604</v>
      </c>
      <c r="G209" s="77">
        <v>47.22</v>
      </c>
      <c r="H209" s="78" t="s">
        <v>52</v>
      </c>
    </row>
    <row r="210" spans="1:8" ht="12.75">
      <c r="A210" s="75"/>
      <c r="B210" s="75"/>
      <c r="C210" s="75"/>
      <c r="D210" s="75"/>
      <c r="E210" s="75"/>
      <c r="F210" s="76" t="s">
        <v>605</v>
      </c>
      <c r="G210" s="77">
        <v>14.05</v>
      </c>
      <c r="H210" s="79"/>
    </row>
    <row r="211" spans="1:8" ht="12.75">
      <c r="A211" s="75"/>
      <c r="B211" s="75"/>
      <c r="C211" s="75"/>
      <c r="D211" s="75"/>
      <c r="E211" s="75"/>
      <c r="F211" s="76" t="s">
        <v>606</v>
      </c>
      <c r="G211" s="77">
        <v>11.32</v>
      </c>
      <c r="H211" s="79"/>
    </row>
    <row r="212" spans="1:8" ht="12.75">
      <c r="A212" s="80" t="s">
        <v>343</v>
      </c>
      <c r="B212" s="80"/>
      <c r="C212" s="80" t="s">
        <v>344</v>
      </c>
      <c r="D212" s="80" t="s">
        <v>345</v>
      </c>
      <c r="E212" s="80" t="s">
        <v>51</v>
      </c>
      <c r="F212" s="81" t="s">
        <v>604</v>
      </c>
      <c r="G212" s="82">
        <v>52.46</v>
      </c>
      <c r="H212" s="83"/>
    </row>
    <row r="213" spans="1:8" ht="12.75">
      <c r="A213" s="80"/>
      <c r="B213" s="80"/>
      <c r="C213" s="80"/>
      <c r="D213" s="80"/>
      <c r="E213" s="80"/>
      <c r="F213" s="81" t="s">
        <v>605</v>
      </c>
      <c r="G213" s="82">
        <v>14.05</v>
      </c>
      <c r="H213" s="79"/>
    </row>
    <row r="214" spans="1:8" ht="12.75">
      <c r="A214" s="80"/>
      <c r="B214" s="80"/>
      <c r="C214" s="80"/>
      <c r="D214" s="80"/>
      <c r="E214" s="80"/>
      <c r="F214" s="81" t="s">
        <v>606</v>
      </c>
      <c r="G214" s="82">
        <v>11.32</v>
      </c>
      <c r="H214" s="79"/>
    </row>
    <row r="215" spans="1:8" ht="12.75">
      <c r="A215" s="80"/>
      <c r="B215" s="80"/>
      <c r="C215" s="80"/>
      <c r="D215" s="80"/>
      <c r="E215" s="80"/>
      <c r="F215" s="81" t="s">
        <v>607</v>
      </c>
      <c r="G215" s="82">
        <v>5.24</v>
      </c>
      <c r="H215" s="79"/>
    </row>
    <row r="216" spans="1:8" ht="12.75">
      <c r="A216" s="75" t="s">
        <v>346</v>
      </c>
      <c r="B216" s="75"/>
      <c r="C216" s="75" t="s">
        <v>275</v>
      </c>
      <c r="D216" s="75" t="s">
        <v>276</v>
      </c>
      <c r="E216" s="75" t="s">
        <v>51</v>
      </c>
      <c r="F216" s="76" t="s">
        <v>604</v>
      </c>
      <c r="G216" s="77">
        <v>47.22</v>
      </c>
      <c r="H216" s="78" t="s">
        <v>52</v>
      </c>
    </row>
    <row r="217" spans="1:8" ht="12.75">
      <c r="A217" s="75"/>
      <c r="B217" s="75"/>
      <c r="C217" s="75"/>
      <c r="D217" s="75"/>
      <c r="E217" s="75"/>
      <c r="F217" s="76" t="s">
        <v>605</v>
      </c>
      <c r="G217" s="77">
        <v>14.05</v>
      </c>
      <c r="H217" s="79"/>
    </row>
    <row r="218" spans="1:8" ht="12.75">
      <c r="A218" s="75"/>
      <c r="B218" s="75"/>
      <c r="C218" s="75"/>
      <c r="D218" s="75"/>
      <c r="E218" s="75"/>
      <c r="F218" s="76" t="s">
        <v>606</v>
      </c>
      <c r="G218" s="77">
        <v>11.32</v>
      </c>
      <c r="H218" s="79"/>
    </row>
    <row r="219" spans="1:8" ht="12.75">
      <c r="A219" s="80" t="s">
        <v>347</v>
      </c>
      <c r="B219" s="80"/>
      <c r="C219" s="80" t="s">
        <v>278</v>
      </c>
      <c r="D219" s="80" t="s">
        <v>279</v>
      </c>
      <c r="E219" s="80" t="s">
        <v>261</v>
      </c>
      <c r="F219" s="81" t="s">
        <v>608</v>
      </c>
      <c r="G219" s="82">
        <v>26.31</v>
      </c>
      <c r="H219" s="83" t="s">
        <v>52</v>
      </c>
    </row>
    <row r="220" spans="1:8" ht="12.75">
      <c r="A220" s="80"/>
      <c r="B220" s="80"/>
      <c r="C220" s="80"/>
      <c r="D220" s="80"/>
      <c r="E220" s="80"/>
      <c r="F220" s="81" t="s">
        <v>609</v>
      </c>
      <c r="G220" s="82">
        <v>7.03</v>
      </c>
      <c r="H220" s="79"/>
    </row>
    <row r="221" spans="1:8" ht="12.75">
      <c r="A221" s="80"/>
      <c r="B221" s="80"/>
      <c r="C221" s="80"/>
      <c r="D221" s="80"/>
      <c r="E221" s="80"/>
      <c r="F221" s="81" t="s">
        <v>610</v>
      </c>
      <c r="G221" s="82">
        <v>5.66</v>
      </c>
      <c r="H221" s="79"/>
    </row>
    <row r="222" spans="1:8" ht="12.75">
      <c r="A222" s="80"/>
      <c r="B222" s="80"/>
      <c r="C222" s="80"/>
      <c r="D222" s="80"/>
      <c r="E222" s="80"/>
      <c r="F222" s="81" t="s">
        <v>611</v>
      </c>
      <c r="G222" s="82">
        <v>2.7</v>
      </c>
      <c r="H222" s="79"/>
    </row>
    <row r="223" spans="1:8" ht="12.75">
      <c r="A223" s="75" t="s">
        <v>348</v>
      </c>
      <c r="B223" s="75"/>
      <c r="C223" s="75" t="s">
        <v>349</v>
      </c>
      <c r="D223" s="75" t="s">
        <v>350</v>
      </c>
      <c r="E223" s="75" t="s">
        <v>216</v>
      </c>
      <c r="F223" s="76" t="s">
        <v>612</v>
      </c>
      <c r="G223" s="77">
        <v>14.66</v>
      </c>
      <c r="H223" s="78" t="s">
        <v>52</v>
      </c>
    </row>
    <row r="224" spans="1:8" ht="12.75">
      <c r="A224" s="79"/>
      <c r="B224" s="79"/>
      <c r="C224" s="79"/>
      <c r="D224" s="84" t="s">
        <v>351</v>
      </c>
      <c r="E224" s="79"/>
      <c r="F224" s="85"/>
      <c r="G224" s="79"/>
      <c r="H224" s="79"/>
    </row>
    <row r="225" spans="1:8" ht="12.75">
      <c r="A225" s="75"/>
      <c r="B225" s="75"/>
      <c r="C225" s="75"/>
      <c r="D225" s="75"/>
      <c r="E225" s="75"/>
      <c r="F225" s="76" t="s">
        <v>613</v>
      </c>
      <c r="G225" s="77">
        <v>4.05</v>
      </c>
      <c r="H225" s="79"/>
    </row>
    <row r="226" spans="1:8" ht="12.75">
      <c r="A226" s="75" t="s">
        <v>352</v>
      </c>
      <c r="B226" s="75"/>
      <c r="C226" s="75" t="s">
        <v>353</v>
      </c>
      <c r="D226" s="75" t="s">
        <v>354</v>
      </c>
      <c r="E226" s="75" t="s">
        <v>216</v>
      </c>
      <c r="F226" s="76" t="s">
        <v>612</v>
      </c>
      <c r="G226" s="77">
        <v>18.9</v>
      </c>
      <c r="H226" s="78" t="s">
        <v>52</v>
      </c>
    </row>
    <row r="227" spans="1:8" ht="12.75">
      <c r="A227" s="79"/>
      <c r="B227" s="79"/>
      <c r="C227" s="79"/>
      <c r="D227" s="84" t="s">
        <v>355</v>
      </c>
      <c r="E227" s="79"/>
      <c r="F227" s="85"/>
      <c r="G227" s="79"/>
      <c r="H227" s="79"/>
    </row>
    <row r="228" spans="1:8" ht="12.75">
      <c r="A228" s="75"/>
      <c r="B228" s="75"/>
      <c r="C228" s="75"/>
      <c r="D228" s="75"/>
      <c r="E228" s="75"/>
      <c r="F228" s="76" t="s">
        <v>613</v>
      </c>
      <c r="G228" s="77">
        <v>4.05</v>
      </c>
      <c r="H228" s="79"/>
    </row>
    <row r="229" spans="1:8" ht="12.75">
      <c r="A229" s="75"/>
      <c r="B229" s="75"/>
      <c r="C229" s="75"/>
      <c r="D229" s="75"/>
      <c r="E229" s="75"/>
      <c r="F229" s="76" t="s">
        <v>614</v>
      </c>
      <c r="G229" s="77">
        <v>4.24</v>
      </c>
      <c r="H229" s="79"/>
    </row>
    <row r="230" spans="1:8" ht="12.75">
      <c r="A230" s="80" t="s">
        <v>356</v>
      </c>
      <c r="B230" s="80"/>
      <c r="C230" s="80" t="s">
        <v>357</v>
      </c>
      <c r="D230" s="80" t="s">
        <v>358</v>
      </c>
      <c r="E230" s="80" t="s">
        <v>51</v>
      </c>
      <c r="F230" s="81" t="s">
        <v>615</v>
      </c>
      <c r="G230" s="82">
        <v>2.02</v>
      </c>
      <c r="H230" s="83" t="s">
        <v>52</v>
      </c>
    </row>
    <row r="231" spans="1:8" ht="12.75">
      <c r="A231" s="80"/>
      <c r="B231" s="80"/>
      <c r="C231" s="80"/>
      <c r="D231" s="80"/>
      <c r="E231" s="80"/>
      <c r="F231" s="81" t="s">
        <v>616</v>
      </c>
      <c r="G231" s="82">
        <v>0.98</v>
      </c>
      <c r="H231" s="79"/>
    </row>
    <row r="232" spans="1:8" ht="12.75">
      <c r="A232" s="75" t="s">
        <v>359</v>
      </c>
      <c r="B232" s="75"/>
      <c r="C232" s="75" t="s">
        <v>360</v>
      </c>
      <c r="D232" s="75" t="s">
        <v>361</v>
      </c>
      <c r="E232" s="75" t="s">
        <v>51</v>
      </c>
      <c r="F232" s="76" t="s">
        <v>615</v>
      </c>
      <c r="G232" s="77">
        <v>2.02</v>
      </c>
      <c r="H232" s="78" t="s">
        <v>52</v>
      </c>
    </row>
    <row r="233" spans="1:8" ht="12.75">
      <c r="A233" s="79"/>
      <c r="B233" s="79"/>
      <c r="C233" s="79"/>
      <c r="D233" s="84" t="s">
        <v>362</v>
      </c>
      <c r="E233" s="79"/>
      <c r="F233" s="85"/>
      <c r="G233" s="79"/>
      <c r="H233" s="79"/>
    </row>
    <row r="234" spans="1:8" ht="12.75">
      <c r="A234" s="75"/>
      <c r="B234" s="75"/>
      <c r="C234" s="75"/>
      <c r="D234" s="75"/>
      <c r="E234" s="75"/>
      <c r="F234" s="76" t="s">
        <v>616</v>
      </c>
      <c r="G234" s="77">
        <v>0.98</v>
      </c>
      <c r="H234" s="79"/>
    </row>
    <row r="235" spans="1:8" ht="12.75">
      <c r="A235" s="75" t="s">
        <v>363</v>
      </c>
      <c r="B235" s="75"/>
      <c r="C235" s="75" t="s">
        <v>364</v>
      </c>
      <c r="D235" s="75" t="s">
        <v>365</v>
      </c>
      <c r="E235" s="75" t="s">
        <v>64</v>
      </c>
      <c r="F235" s="76"/>
      <c r="G235" s="77">
        <v>1.93651</v>
      </c>
      <c r="H235" s="78" t="s">
        <v>52</v>
      </c>
    </row>
    <row r="236" spans="1:8" ht="12.75">
      <c r="A236" s="75" t="s">
        <v>368</v>
      </c>
      <c r="B236" s="75"/>
      <c r="C236" s="75" t="s">
        <v>369</v>
      </c>
      <c r="D236" s="75" t="s">
        <v>370</v>
      </c>
      <c r="E236" s="75" t="s">
        <v>51</v>
      </c>
      <c r="F236" s="76" t="s">
        <v>617</v>
      </c>
      <c r="G236" s="77">
        <v>65.78</v>
      </c>
      <c r="H236" s="78" t="s">
        <v>52</v>
      </c>
    </row>
    <row r="237" spans="1:8" ht="12.75">
      <c r="A237" s="79"/>
      <c r="B237" s="79"/>
      <c r="C237" s="79"/>
      <c r="D237" s="84" t="s">
        <v>371</v>
      </c>
      <c r="E237" s="79"/>
      <c r="F237" s="85"/>
      <c r="G237" s="79"/>
      <c r="H237" s="79"/>
    </row>
    <row r="238" spans="1:8" ht="12.75">
      <c r="A238" s="75"/>
      <c r="B238" s="75"/>
      <c r="C238" s="75"/>
      <c r="D238" s="75"/>
      <c r="E238" s="75"/>
      <c r="F238" s="76" t="s">
        <v>618</v>
      </c>
      <c r="G238" s="77">
        <v>15.03</v>
      </c>
      <c r="H238" s="79"/>
    </row>
    <row r="239" spans="1:8" ht="12.75">
      <c r="A239" s="75" t="s">
        <v>372</v>
      </c>
      <c r="B239" s="75"/>
      <c r="C239" s="75" t="s">
        <v>373</v>
      </c>
      <c r="D239" s="75" t="s">
        <v>374</v>
      </c>
      <c r="E239" s="75" t="s">
        <v>51</v>
      </c>
      <c r="F239" s="76" t="s">
        <v>617</v>
      </c>
      <c r="G239" s="77">
        <v>65.78</v>
      </c>
      <c r="H239" s="78" t="s">
        <v>52</v>
      </c>
    </row>
    <row r="240" spans="1:8" ht="12.75">
      <c r="A240" s="75"/>
      <c r="B240" s="75"/>
      <c r="C240" s="75"/>
      <c r="D240" s="75"/>
      <c r="E240" s="75"/>
      <c r="F240" s="76" t="s">
        <v>618</v>
      </c>
      <c r="G240" s="77">
        <v>15.03</v>
      </c>
      <c r="H240" s="79"/>
    </row>
    <row r="241" spans="1:8" ht="12.75">
      <c r="A241" s="75" t="s">
        <v>375</v>
      </c>
      <c r="B241" s="75"/>
      <c r="C241" s="75" t="s">
        <v>376</v>
      </c>
      <c r="D241" s="75" t="s">
        <v>377</v>
      </c>
      <c r="E241" s="75" t="s">
        <v>51</v>
      </c>
      <c r="F241" s="76" t="s">
        <v>619</v>
      </c>
      <c r="G241" s="77">
        <v>65.89</v>
      </c>
      <c r="H241" s="78" t="s">
        <v>52</v>
      </c>
    </row>
    <row r="242" spans="1:8" ht="12.75">
      <c r="A242" s="79"/>
      <c r="B242" s="79"/>
      <c r="C242" s="79"/>
      <c r="D242" s="84" t="s">
        <v>378</v>
      </c>
      <c r="E242" s="79"/>
      <c r="F242" s="85"/>
      <c r="G242" s="79"/>
      <c r="H242" s="79"/>
    </row>
    <row r="243" spans="1:8" ht="12.75">
      <c r="A243" s="75"/>
      <c r="B243" s="75"/>
      <c r="C243" s="75"/>
      <c r="D243" s="75"/>
      <c r="E243" s="75"/>
      <c r="F243" s="76" t="s">
        <v>620</v>
      </c>
      <c r="G243" s="77">
        <v>5.99</v>
      </c>
      <c r="H243" s="79"/>
    </row>
    <row r="244" spans="1:8" ht="12.75">
      <c r="A244" s="75"/>
      <c r="B244" s="75"/>
      <c r="C244" s="75"/>
      <c r="D244" s="75"/>
      <c r="E244" s="75"/>
      <c r="F244" s="76"/>
      <c r="G244" s="77">
        <v>0</v>
      </c>
      <c r="H244" s="79"/>
    </row>
    <row r="245" spans="1:8" ht="12.75">
      <c r="A245" s="75" t="s">
        <v>381</v>
      </c>
      <c r="B245" s="75"/>
      <c r="C245" s="75" t="s">
        <v>382</v>
      </c>
      <c r="D245" s="75" t="s">
        <v>383</v>
      </c>
      <c r="E245" s="75" t="s">
        <v>51</v>
      </c>
      <c r="F245" s="76" t="s">
        <v>621</v>
      </c>
      <c r="G245" s="77">
        <v>841.18</v>
      </c>
      <c r="H245" s="78" t="s">
        <v>52</v>
      </c>
    </row>
    <row r="246" spans="1:8" ht="12.75">
      <c r="A246" s="75"/>
      <c r="B246" s="75"/>
      <c r="C246" s="75"/>
      <c r="D246" s="75"/>
      <c r="E246" s="75"/>
      <c r="F246" s="76" t="s">
        <v>622</v>
      </c>
      <c r="G246" s="77">
        <v>40.34</v>
      </c>
      <c r="H246" s="79"/>
    </row>
    <row r="247" spans="1:8" ht="12.75">
      <c r="A247" s="75"/>
      <c r="B247" s="75"/>
      <c r="C247" s="75"/>
      <c r="D247" s="75"/>
      <c r="E247" s="75"/>
      <c r="F247" s="76" t="s">
        <v>623</v>
      </c>
      <c r="G247" s="77">
        <v>32.51</v>
      </c>
      <c r="H247" s="79"/>
    </row>
    <row r="248" spans="1:8" ht="12.75">
      <c r="A248" s="75"/>
      <c r="B248" s="75"/>
      <c r="C248" s="75"/>
      <c r="D248" s="75"/>
      <c r="E248" s="75"/>
      <c r="F248" s="76" t="s">
        <v>624</v>
      </c>
      <c r="G248" s="77">
        <v>72.15</v>
      </c>
      <c r="H248" s="79"/>
    </row>
    <row r="249" spans="1:8" ht="12.75">
      <c r="A249" s="75"/>
      <c r="B249" s="75"/>
      <c r="C249" s="75"/>
      <c r="D249" s="75"/>
      <c r="E249" s="75"/>
      <c r="F249" s="76" t="s">
        <v>625</v>
      </c>
      <c r="G249" s="77">
        <v>78.56</v>
      </c>
      <c r="H249" s="79"/>
    </row>
    <row r="250" spans="1:8" ht="12.75">
      <c r="A250" s="75"/>
      <c r="B250" s="75"/>
      <c r="C250" s="75"/>
      <c r="D250" s="75"/>
      <c r="E250" s="75"/>
      <c r="F250" s="76" t="s">
        <v>626</v>
      </c>
      <c r="G250" s="77">
        <v>42.96</v>
      </c>
      <c r="H250" s="79"/>
    </row>
    <row r="251" spans="1:8" ht="12.75">
      <c r="A251" s="75"/>
      <c r="B251" s="75"/>
      <c r="C251" s="75"/>
      <c r="D251" s="75"/>
      <c r="E251" s="75"/>
      <c r="F251" s="76" t="s">
        <v>627</v>
      </c>
      <c r="G251" s="77">
        <v>85.74</v>
      </c>
      <c r="H251" s="79"/>
    </row>
    <row r="252" spans="1:8" ht="12.75">
      <c r="A252" s="75"/>
      <c r="B252" s="75"/>
      <c r="C252" s="75"/>
      <c r="D252" s="75"/>
      <c r="E252" s="75"/>
      <c r="F252" s="76" t="s">
        <v>628</v>
      </c>
      <c r="G252" s="77">
        <v>19.99</v>
      </c>
      <c r="H252" s="79"/>
    </row>
    <row r="253" spans="1:8" ht="12.75">
      <c r="A253" s="75"/>
      <c r="B253" s="75"/>
      <c r="C253" s="75"/>
      <c r="D253" s="75"/>
      <c r="E253" s="75"/>
      <c r="F253" s="76" t="s">
        <v>629</v>
      </c>
      <c r="G253" s="77">
        <v>24.8</v>
      </c>
      <c r="H253" s="79"/>
    </row>
    <row r="254" spans="1:8" ht="12.75">
      <c r="A254" s="75"/>
      <c r="B254" s="75"/>
      <c r="C254" s="75"/>
      <c r="D254" s="75"/>
      <c r="E254" s="75"/>
      <c r="F254" s="76" t="s">
        <v>630</v>
      </c>
      <c r="G254" s="77">
        <v>38.7</v>
      </c>
      <c r="H254" s="79"/>
    </row>
    <row r="255" spans="1:8" ht="12.75">
      <c r="A255" s="75"/>
      <c r="B255" s="75"/>
      <c r="C255" s="75"/>
      <c r="D255" s="75"/>
      <c r="E255" s="75"/>
      <c r="F255" s="76" t="s">
        <v>631</v>
      </c>
      <c r="G255" s="77">
        <v>105.68</v>
      </c>
      <c r="H255" s="79"/>
    </row>
    <row r="256" spans="1:8" ht="12.75">
      <c r="A256" s="75"/>
      <c r="B256" s="75"/>
      <c r="C256" s="75"/>
      <c r="D256" s="75"/>
      <c r="E256" s="75"/>
      <c r="F256" s="76" t="s">
        <v>632</v>
      </c>
      <c r="G256" s="77">
        <v>20.58</v>
      </c>
      <c r="H256" s="79"/>
    </row>
    <row r="257" spans="1:8" ht="12.75">
      <c r="A257" s="75"/>
      <c r="B257" s="75"/>
      <c r="C257" s="75"/>
      <c r="D257" s="75"/>
      <c r="E257" s="75"/>
      <c r="F257" s="76" t="s">
        <v>633</v>
      </c>
      <c r="G257" s="77">
        <v>15.97</v>
      </c>
      <c r="H257" s="79"/>
    </row>
    <row r="258" spans="1:8" ht="12.75">
      <c r="A258" s="75"/>
      <c r="B258" s="75"/>
      <c r="C258" s="75"/>
      <c r="D258" s="75"/>
      <c r="E258" s="75"/>
      <c r="F258" s="76" t="s">
        <v>634</v>
      </c>
      <c r="G258" s="77">
        <v>1.2</v>
      </c>
      <c r="H258" s="79"/>
    </row>
    <row r="259" spans="1:8" ht="12.75">
      <c r="A259" s="75"/>
      <c r="B259" s="75"/>
      <c r="C259" s="75"/>
      <c r="D259" s="75"/>
      <c r="E259" s="75"/>
      <c r="F259" s="76" t="s">
        <v>635</v>
      </c>
      <c r="G259" s="77">
        <v>0.24</v>
      </c>
      <c r="H259" s="79"/>
    </row>
    <row r="260" spans="1:8" ht="12.75">
      <c r="A260" s="75"/>
      <c r="B260" s="75"/>
      <c r="C260" s="75"/>
      <c r="D260" s="75"/>
      <c r="E260" s="75"/>
      <c r="F260" s="76" t="s">
        <v>636</v>
      </c>
      <c r="G260" s="77">
        <v>57.69</v>
      </c>
      <c r="H260" s="79"/>
    </row>
    <row r="261" spans="1:8" ht="12.75">
      <c r="A261" s="75"/>
      <c r="B261" s="75"/>
      <c r="C261" s="75"/>
      <c r="D261" s="75"/>
      <c r="E261" s="75"/>
      <c r="F261" s="76" t="s">
        <v>637</v>
      </c>
      <c r="G261" s="77">
        <v>28.94</v>
      </c>
      <c r="H261" s="79"/>
    </row>
    <row r="262" spans="1:8" ht="12.75">
      <c r="A262" s="75"/>
      <c r="B262" s="75"/>
      <c r="C262" s="75"/>
      <c r="D262" s="75"/>
      <c r="E262" s="75"/>
      <c r="F262" s="76" t="s">
        <v>638</v>
      </c>
      <c r="G262" s="77">
        <v>14.47</v>
      </c>
      <c r="H262" s="79"/>
    </row>
    <row r="263" spans="1:8" ht="12.75">
      <c r="A263" s="75"/>
      <c r="B263" s="75"/>
      <c r="C263" s="75"/>
      <c r="D263" s="75"/>
      <c r="E263" s="75"/>
      <c r="F263" s="76" t="s">
        <v>639</v>
      </c>
      <c r="G263" s="77">
        <v>59.26</v>
      </c>
      <c r="H263" s="79"/>
    </row>
    <row r="264" spans="1:8" ht="12.75">
      <c r="A264" s="75"/>
      <c r="B264" s="75"/>
      <c r="C264" s="75"/>
      <c r="D264" s="75"/>
      <c r="E264" s="75"/>
      <c r="F264" s="76" t="s">
        <v>640</v>
      </c>
      <c r="G264" s="77">
        <v>84</v>
      </c>
      <c r="H264" s="79"/>
    </row>
    <row r="265" spans="1:8" ht="12.75">
      <c r="A265" s="75" t="s">
        <v>385</v>
      </c>
      <c r="B265" s="75"/>
      <c r="C265" s="75" t="s">
        <v>386</v>
      </c>
      <c r="D265" s="75" t="s">
        <v>387</v>
      </c>
      <c r="E265" s="75" t="s">
        <v>51</v>
      </c>
      <c r="F265" s="76" t="s">
        <v>641</v>
      </c>
      <c r="G265" s="77">
        <v>22.87</v>
      </c>
      <c r="H265" s="78" t="s">
        <v>52</v>
      </c>
    </row>
    <row r="266" spans="1:8" ht="12.75">
      <c r="A266" s="75"/>
      <c r="B266" s="75"/>
      <c r="C266" s="75"/>
      <c r="D266" s="75"/>
      <c r="E266" s="75"/>
      <c r="F266" s="76" t="s">
        <v>642</v>
      </c>
      <c r="G266" s="77">
        <v>2.31</v>
      </c>
      <c r="H266" s="79"/>
    </row>
    <row r="267" spans="1:8" ht="12.75">
      <c r="A267" s="75"/>
      <c r="B267" s="75"/>
      <c r="C267" s="75"/>
      <c r="D267" s="75"/>
      <c r="E267" s="75"/>
      <c r="F267" s="76" t="s">
        <v>643</v>
      </c>
      <c r="G267" s="77">
        <v>1.97</v>
      </c>
      <c r="H267" s="79"/>
    </row>
    <row r="268" spans="1:8" ht="12.75">
      <c r="A268" s="75"/>
      <c r="B268" s="75"/>
      <c r="C268" s="75"/>
      <c r="D268" s="75"/>
      <c r="E268" s="75"/>
      <c r="F268" s="76" t="s">
        <v>644</v>
      </c>
      <c r="G268" s="77">
        <v>9.44</v>
      </c>
      <c r="H268" s="79"/>
    </row>
    <row r="269" spans="1:8" ht="12.75">
      <c r="A269" s="75"/>
      <c r="B269" s="75"/>
      <c r="C269" s="75"/>
      <c r="D269" s="75"/>
      <c r="E269" s="75"/>
      <c r="F269" s="76" t="s">
        <v>645</v>
      </c>
      <c r="G269" s="77">
        <v>6.7</v>
      </c>
      <c r="H269" s="79"/>
    </row>
    <row r="270" spans="1:8" ht="12.75">
      <c r="A270" s="75" t="s">
        <v>388</v>
      </c>
      <c r="B270" s="75"/>
      <c r="C270" s="75" t="s">
        <v>389</v>
      </c>
      <c r="D270" s="75" t="s">
        <v>390</v>
      </c>
      <c r="E270" s="75" t="s">
        <v>51</v>
      </c>
      <c r="F270" s="76" t="s">
        <v>646</v>
      </c>
      <c r="G270" s="77">
        <v>19.29</v>
      </c>
      <c r="H270" s="78" t="s">
        <v>52</v>
      </c>
    </row>
    <row r="271" spans="1:8" ht="12.75">
      <c r="A271" s="75" t="s">
        <v>391</v>
      </c>
      <c r="B271" s="75"/>
      <c r="C271" s="75" t="s">
        <v>392</v>
      </c>
      <c r="D271" s="75" t="s">
        <v>393</v>
      </c>
      <c r="E271" s="75" t="s">
        <v>394</v>
      </c>
      <c r="F271" s="76" t="s">
        <v>647</v>
      </c>
      <c r="G271" s="77">
        <v>2.25</v>
      </c>
      <c r="H271" s="78" t="s">
        <v>52</v>
      </c>
    </row>
    <row r="272" spans="1:8" ht="12.75">
      <c r="A272" s="75" t="s">
        <v>395</v>
      </c>
      <c r="B272" s="75"/>
      <c r="C272" s="75" t="s">
        <v>396</v>
      </c>
      <c r="D272" s="75" t="s">
        <v>397</v>
      </c>
      <c r="E272" s="75" t="s">
        <v>51</v>
      </c>
      <c r="F272" s="76" t="s">
        <v>648</v>
      </c>
      <c r="G272" s="77">
        <v>3.14</v>
      </c>
      <c r="H272" s="78" t="s">
        <v>52</v>
      </c>
    </row>
    <row r="273" spans="1:8" ht="12.75">
      <c r="A273" s="75"/>
      <c r="B273" s="75"/>
      <c r="C273" s="75"/>
      <c r="D273" s="75"/>
      <c r="E273" s="75"/>
      <c r="F273" s="76" t="s">
        <v>649</v>
      </c>
      <c r="G273" s="77">
        <v>0.96</v>
      </c>
      <c r="H273" s="79"/>
    </row>
    <row r="274" spans="1:8" ht="12.75">
      <c r="A274" s="75" t="s">
        <v>398</v>
      </c>
      <c r="B274" s="75"/>
      <c r="C274" s="75" t="s">
        <v>195</v>
      </c>
      <c r="D274" s="75" t="s">
        <v>196</v>
      </c>
      <c r="E274" s="75" t="s">
        <v>64</v>
      </c>
      <c r="F274" s="76"/>
      <c r="G274" s="77">
        <v>12.33814</v>
      </c>
      <c r="H274" s="78" t="s">
        <v>52</v>
      </c>
    </row>
    <row r="275" spans="1:8" ht="12.75">
      <c r="A275" s="75" t="s">
        <v>399</v>
      </c>
      <c r="B275" s="75"/>
      <c r="C275" s="75" t="s">
        <v>400</v>
      </c>
      <c r="D275" s="75" t="s">
        <v>401</v>
      </c>
      <c r="E275" s="75" t="s">
        <v>100</v>
      </c>
      <c r="F275" s="76" t="s">
        <v>650</v>
      </c>
      <c r="G275" s="77">
        <v>14</v>
      </c>
      <c r="H275" s="78" t="s">
        <v>52</v>
      </c>
    </row>
    <row r="276" spans="1:8" ht="12.75">
      <c r="A276" s="75" t="s">
        <v>402</v>
      </c>
      <c r="B276" s="75"/>
      <c r="C276" s="75" t="s">
        <v>403</v>
      </c>
      <c r="D276" s="75" t="s">
        <v>404</v>
      </c>
      <c r="E276" s="75" t="s">
        <v>51</v>
      </c>
      <c r="F276" s="76" t="s">
        <v>651</v>
      </c>
      <c r="G276" s="77">
        <v>2.86</v>
      </c>
      <c r="H276" s="78" t="s">
        <v>52</v>
      </c>
    </row>
    <row r="277" spans="1:8" ht="12.75">
      <c r="A277" s="75" t="s">
        <v>405</v>
      </c>
      <c r="B277" s="75"/>
      <c r="C277" s="75" t="s">
        <v>406</v>
      </c>
      <c r="D277" s="75" t="s">
        <v>407</v>
      </c>
      <c r="E277" s="75" t="s">
        <v>51</v>
      </c>
      <c r="F277" s="76" t="s">
        <v>652</v>
      </c>
      <c r="G277" s="77">
        <v>3.9</v>
      </c>
      <c r="H277" s="78" t="s">
        <v>52</v>
      </c>
    </row>
    <row r="278" spans="1:8" ht="12.75">
      <c r="A278" s="75" t="s">
        <v>408</v>
      </c>
      <c r="B278" s="75"/>
      <c r="C278" s="75" t="s">
        <v>409</v>
      </c>
      <c r="D278" s="75" t="s">
        <v>410</v>
      </c>
      <c r="E278" s="75" t="s">
        <v>51</v>
      </c>
      <c r="F278" s="76" t="s">
        <v>653</v>
      </c>
      <c r="G278" s="77">
        <v>4.95</v>
      </c>
      <c r="H278" s="78" t="s">
        <v>52</v>
      </c>
    </row>
    <row r="279" spans="1:8" ht="12.75">
      <c r="A279" s="75" t="s">
        <v>411</v>
      </c>
      <c r="B279" s="75"/>
      <c r="C279" s="75" t="s">
        <v>412</v>
      </c>
      <c r="D279" s="75" t="s">
        <v>413</v>
      </c>
      <c r="E279" s="75" t="s">
        <v>51</v>
      </c>
      <c r="F279" s="76" t="s">
        <v>654</v>
      </c>
      <c r="G279" s="77">
        <v>1.82</v>
      </c>
      <c r="H279" s="78" t="s">
        <v>52</v>
      </c>
    </row>
    <row r="280" spans="1:8" ht="12.75">
      <c r="A280" s="75" t="s">
        <v>414</v>
      </c>
      <c r="B280" s="75"/>
      <c r="C280" s="75" t="s">
        <v>415</v>
      </c>
      <c r="D280" s="75" t="s">
        <v>416</v>
      </c>
      <c r="E280" s="75" t="s">
        <v>51</v>
      </c>
      <c r="F280" s="76" t="s">
        <v>655</v>
      </c>
      <c r="G280" s="77">
        <v>2.5</v>
      </c>
      <c r="H280" s="78" t="s">
        <v>52</v>
      </c>
    </row>
    <row r="281" spans="1:8" ht="12.75">
      <c r="A281" s="75" t="s">
        <v>417</v>
      </c>
      <c r="B281" s="75"/>
      <c r="C281" s="75" t="s">
        <v>418</v>
      </c>
      <c r="D281" s="75" t="s">
        <v>419</v>
      </c>
      <c r="E281" s="75" t="s">
        <v>100</v>
      </c>
      <c r="F281" s="76" t="s">
        <v>656</v>
      </c>
      <c r="G281" s="77">
        <v>9</v>
      </c>
      <c r="H281" s="78" t="s">
        <v>52</v>
      </c>
    </row>
    <row r="282" spans="1:8" ht="12.75">
      <c r="A282" s="75"/>
      <c r="B282" s="75"/>
      <c r="C282" s="75"/>
      <c r="D282" s="75"/>
      <c r="E282" s="75"/>
      <c r="F282" s="76" t="s">
        <v>657</v>
      </c>
      <c r="G282" s="77">
        <v>1</v>
      </c>
      <c r="H282" s="79"/>
    </row>
    <row r="283" spans="1:8" ht="12.75">
      <c r="A283" s="75"/>
      <c r="B283" s="75"/>
      <c r="C283" s="75"/>
      <c r="D283" s="75"/>
      <c r="E283" s="75"/>
      <c r="F283" s="76" t="s">
        <v>658</v>
      </c>
      <c r="G283" s="77">
        <v>2</v>
      </c>
      <c r="H283" s="79"/>
    </row>
    <row r="284" spans="1:8" ht="12.75">
      <c r="A284" s="75"/>
      <c r="B284" s="75"/>
      <c r="C284" s="75"/>
      <c r="D284" s="75"/>
      <c r="E284" s="75"/>
      <c r="F284" s="76" t="s">
        <v>659</v>
      </c>
      <c r="G284" s="77">
        <v>2</v>
      </c>
      <c r="H284" s="79"/>
    </row>
    <row r="285" spans="1:8" ht="12.75">
      <c r="A285" s="75"/>
      <c r="B285" s="75"/>
      <c r="C285" s="75"/>
      <c r="D285" s="75"/>
      <c r="E285" s="75"/>
      <c r="F285" s="76" t="s">
        <v>660</v>
      </c>
      <c r="G285" s="77">
        <v>2</v>
      </c>
      <c r="H285" s="79"/>
    </row>
    <row r="286" spans="1:8" ht="12.75">
      <c r="A286" s="75"/>
      <c r="B286" s="75"/>
      <c r="C286" s="75"/>
      <c r="D286" s="75"/>
      <c r="E286" s="75"/>
      <c r="F286" s="76" t="s">
        <v>661</v>
      </c>
      <c r="G286" s="77">
        <v>1</v>
      </c>
      <c r="H286" s="79"/>
    </row>
    <row r="287" spans="1:8" ht="12.75">
      <c r="A287" s="75" t="s">
        <v>420</v>
      </c>
      <c r="B287" s="75"/>
      <c r="C287" s="75" t="s">
        <v>421</v>
      </c>
      <c r="D287" s="75" t="s">
        <v>422</v>
      </c>
      <c r="E287" s="75" t="s">
        <v>100</v>
      </c>
      <c r="F287" s="76" t="s">
        <v>662</v>
      </c>
      <c r="G287" s="77">
        <v>2.21</v>
      </c>
      <c r="H287" s="78" t="s">
        <v>52</v>
      </c>
    </row>
    <row r="288" spans="1:8" ht="12.75">
      <c r="A288" s="75" t="s">
        <v>423</v>
      </c>
      <c r="B288" s="75"/>
      <c r="C288" s="75" t="s">
        <v>424</v>
      </c>
      <c r="D288" s="75" t="s">
        <v>425</v>
      </c>
      <c r="E288" s="75" t="s">
        <v>51</v>
      </c>
      <c r="F288" s="76" t="s">
        <v>663</v>
      </c>
      <c r="G288" s="77">
        <v>8.52</v>
      </c>
      <c r="H288" s="78" t="s">
        <v>52</v>
      </c>
    </row>
    <row r="289" spans="1:8" ht="12.75">
      <c r="A289" s="75" t="s">
        <v>426</v>
      </c>
      <c r="B289" s="75"/>
      <c r="C289" s="75" t="s">
        <v>427</v>
      </c>
      <c r="D289" s="75" t="s">
        <v>428</v>
      </c>
      <c r="E289" s="75" t="s">
        <v>394</v>
      </c>
      <c r="F289" s="76" t="s">
        <v>664</v>
      </c>
      <c r="G289" s="77">
        <v>0.5</v>
      </c>
      <c r="H289" s="78" t="s">
        <v>52</v>
      </c>
    </row>
    <row r="290" spans="1:8" ht="12.75">
      <c r="A290" s="75"/>
      <c r="B290" s="75"/>
      <c r="C290" s="75"/>
      <c r="D290" s="75"/>
      <c r="E290" s="75"/>
      <c r="F290" s="76" t="s">
        <v>665</v>
      </c>
      <c r="G290" s="77">
        <v>0.15</v>
      </c>
      <c r="H290" s="79"/>
    </row>
    <row r="291" spans="1:8" ht="12.75">
      <c r="A291" s="75" t="s">
        <v>429</v>
      </c>
      <c r="B291" s="75"/>
      <c r="C291" s="75" t="s">
        <v>195</v>
      </c>
      <c r="D291" s="75" t="s">
        <v>196</v>
      </c>
      <c r="E291" s="75" t="s">
        <v>64</v>
      </c>
      <c r="F291" s="76"/>
      <c r="G291" s="77">
        <v>0.99441</v>
      </c>
      <c r="H291" s="78" t="s">
        <v>52</v>
      </c>
    </row>
    <row r="292" spans="1:8" ht="12.75">
      <c r="A292" s="75" t="s">
        <v>430</v>
      </c>
      <c r="B292" s="75"/>
      <c r="C292" s="75" t="s">
        <v>431</v>
      </c>
      <c r="D292" s="75" t="s">
        <v>432</v>
      </c>
      <c r="E292" s="75" t="s">
        <v>51</v>
      </c>
      <c r="F292" s="76" t="s">
        <v>666</v>
      </c>
      <c r="G292" s="77">
        <v>8.89</v>
      </c>
      <c r="H292" s="78" t="s">
        <v>52</v>
      </c>
    </row>
    <row r="293" spans="1:8" ht="12.75">
      <c r="A293" s="75"/>
      <c r="B293" s="75"/>
      <c r="C293" s="75"/>
      <c r="D293" s="75"/>
      <c r="E293" s="75"/>
      <c r="F293" s="76" t="s">
        <v>667</v>
      </c>
      <c r="G293" s="77">
        <v>1.41</v>
      </c>
      <c r="H293" s="79"/>
    </row>
    <row r="294" spans="1:8" ht="12.75">
      <c r="A294" s="75"/>
      <c r="B294" s="75"/>
      <c r="C294" s="75"/>
      <c r="D294" s="75"/>
      <c r="E294" s="75"/>
      <c r="F294" s="76" t="s">
        <v>668</v>
      </c>
      <c r="G294" s="77">
        <v>2.83</v>
      </c>
      <c r="H294" s="79"/>
    </row>
    <row r="295" spans="1:8" ht="12.75">
      <c r="A295" s="75"/>
      <c r="B295" s="75"/>
      <c r="C295" s="75"/>
      <c r="D295" s="75"/>
      <c r="E295" s="75"/>
      <c r="F295" s="76" t="s">
        <v>669</v>
      </c>
      <c r="G295" s="77">
        <v>2.83</v>
      </c>
      <c r="H295" s="79"/>
    </row>
    <row r="296" spans="1:8" ht="12.75">
      <c r="A296" s="75" t="s">
        <v>433</v>
      </c>
      <c r="B296" s="75"/>
      <c r="C296" s="75" t="s">
        <v>195</v>
      </c>
      <c r="D296" s="75" t="s">
        <v>196</v>
      </c>
      <c r="E296" s="75" t="s">
        <v>64</v>
      </c>
      <c r="F296" s="76"/>
      <c r="G296" s="77">
        <v>0.67564</v>
      </c>
      <c r="H296" s="78" t="s">
        <v>52</v>
      </c>
    </row>
    <row r="297" spans="1:8" ht="12.75">
      <c r="A297" s="75" t="s">
        <v>435</v>
      </c>
      <c r="B297" s="75"/>
      <c r="C297" s="75" t="s">
        <v>436</v>
      </c>
      <c r="D297" s="75" t="s">
        <v>437</v>
      </c>
      <c r="E297" s="75" t="s">
        <v>51</v>
      </c>
      <c r="F297" s="76" t="s">
        <v>670</v>
      </c>
      <c r="G297" s="77">
        <v>1.85</v>
      </c>
      <c r="H297" s="78" t="s">
        <v>52</v>
      </c>
    </row>
    <row r="298" spans="1:8" ht="12.75">
      <c r="A298" s="75" t="s">
        <v>438</v>
      </c>
      <c r="B298" s="75"/>
      <c r="C298" s="75" t="s">
        <v>439</v>
      </c>
      <c r="D298" s="75" t="s">
        <v>440</v>
      </c>
      <c r="E298" s="75" t="s">
        <v>51</v>
      </c>
      <c r="F298" s="76" t="s">
        <v>671</v>
      </c>
      <c r="G298" s="77">
        <v>25.74</v>
      </c>
      <c r="H298" s="78" t="s">
        <v>52</v>
      </c>
    </row>
    <row r="299" spans="1:8" ht="12.75">
      <c r="A299" s="79"/>
      <c r="B299" s="79"/>
      <c r="C299" s="79"/>
      <c r="D299" s="84" t="s">
        <v>441</v>
      </c>
      <c r="E299" s="79"/>
      <c r="F299" s="85"/>
      <c r="G299" s="79"/>
      <c r="H299" s="79"/>
    </row>
    <row r="300" spans="1:8" ht="12.75">
      <c r="A300" s="75"/>
      <c r="B300" s="75"/>
      <c r="C300" s="75"/>
      <c r="D300" s="75"/>
      <c r="E300" s="75"/>
      <c r="F300" s="76" t="s">
        <v>672</v>
      </c>
      <c r="G300" s="77">
        <v>4.14</v>
      </c>
      <c r="H300" s="79"/>
    </row>
    <row r="301" spans="1:8" ht="12.75">
      <c r="A301" s="75"/>
      <c r="B301" s="75"/>
      <c r="C301" s="75"/>
      <c r="D301" s="75"/>
      <c r="E301" s="75"/>
      <c r="F301" s="76" t="s">
        <v>673</v>
      </c>
      <c r="G301" s="77">
        <v>5.49</v>
      </c>
      <c r="H301" s="79"/>
    </row>
    <row r="302" spans="1:8" ht="12.75">
      <c r="A302" s="75"/>
      <c r="B302" s="75"/>
      <c r="C302" s="75"/>
      <c r="D302" s="75"/>
      <c r="E302" s="75"/>
      <c r="F302" s="76" t="s">
        <v>674</v>
      </c>
      <c r="G302" s="77">
        <v>4.2</v>
      </c>
      <c r="H302" s="79"/>
    </row>
    <row r="303" spans="1:8" ht="12.75">
      <c r="A303" s="75"/>
      <c r="B303" s="75"/>
      <c r="C303" s="75"/>
      <c r="D303" s="75"/>
      <c r="E303" s="75"/>
      <c r="F303" s="76" t="s">
        <v>675</v>
      </c>
      <c r="G303" s="77">
        <v>4.62</v>
      </c>
      <c r="H303" s="79"/>
    </row>
    <row r="304" spans="1:8" ht="12.75">
      <c r="A304" s="75" t="s">
        <v>442</v>
      </c>
      <c r="B304" s="75"/>
      <c r="C304" s="75" t="s">
        <v>195</v>
      </c>
      <c r="D304" s="75" t="s">
        <v>196</v>
      </c>
      <c r="E304" s="75" t="s">
        <v>64</v>
      </c>
      <c r="F304" s="76"/>
      <c r="G304" s="77">
        <v>2.24982</v>
      </c>
      <c r="H304" s="78" t="s">
        <v>52</v>
      </c>
    </row>
    <row r="305" spans="1:8" ht="12.75">
      <c r="A305" s="75" t="s">
        <v>445</v>
      </c>
      <c r="B305" s="75"/>
      <c r="C305" s="75" t="s">
        <v>446</v>
      </c>
      <c r="D305" s="75" t="s">
        <v>447</v>
      </c>
      <c r="E305" s="75" t="s">
        <v>448</v>
      </c>
      <c r="F305" s="76" t="s">
        <v>48</v>
      </c>
      <c r="G305" s="77">
        <v>1</v>
      </c>
      <c r="H305" s="78"/>
    </row>
    <row r="306" spans="1:8" ht="12.75">
      <c r="A306" s="79"/>
      <c r="B306" s="79"/>
      <c r="C306" s="79"/>
      <c r="D306" s="84" t="s">
        <v>449</v>
      </c>
      <c r="E306" s="79"/>
      <c r="F306" s="85"/>
      <c r="G306" s="79"/>
      <c r="H306" s="79"/>
    </row>
    <row r="307" spans="1:8" ht="12.75">
      <c r="A307" s="75" t="s">
        <v>453</v>
      </c>
      <c r="B307" s="75"/>
      <c r="C307" s="75" t="s">
        <v>454</v>
      </c>
      <c r="D307" s="75" t="s">
        <v>455</v>
      </c>
      <c r="E307" s="75" t="s">
        <v>100</v>
      </c>
      <c r="F307" s="76" t="s">
        <v>61</v>
      </c>
      <c r="G307" s="77">
        <v>16</v>
      </c>
      <c r="H307" s="78" t="s">
        <v>52</v>
      </c>
    </row>
    <row r="308" spans="1:8" ht="12.75">
      <c r="A308" s="79"/>
      <c r="B308" s="79"/>
      <c r="C308" s="79"/>
      <c r="D308" s="84" t="s">
        <v>456</v>
      </c>
      <c r="E308" s="79"/>
      <c r="F308" s="85"/>
      <c r="G308" s="79"/>
      <c r="H308" s="79"/>
    </row>
    <row r="309" spans="1:8" ht="12.75">
      <c r="A309" s="75"/>
      <c r="B309" s="75"/>
      <c r="C309" s="75"/>
      <c r="D309" s="75"/>
      <c r="E309" s="75"/>
      <c r="F309" s="76" t="s">
        <v>91</v>
      </c>
      <c r="G309" s="77">
        <v>12</v>
      </c>
      <c r="H309" s="79"/>
    </row>
    <row r="310" spans="1:8" ht="12.75">
      <c r="A310" s="80" t="s">
        <v>457</v>
      </c>
      <c r="B310" s="80"/>
      <c r="C310" s="80" t="s">
        <v>458</v>
      </c>
      <c r="D310" s="80" t="s">
        <v>459</v>
      </c>
      <c r="E310" s="80" t="s">
        <v>100</v>
      </c>
      <c r="F310" s="81" t="s">
        <v>676</v>
      </c>
      <c r="G310" s="82">
        <v>12</v>
      </c>
      <c r="H310" s="83"/>
    </row>
    <row r="311" spans="1:8" ht="12.75">
      <c r="A311" s="80"/>
      <c r="B311" s="80"/>
      <c r="C311" s="80"/>
      <c r="D311" s="80"/>
      <c r="E311" s="80"/>
      <c r="F311" s="81" t="s">
        <v>677</v>
      </c>
      <c r="G311" s="82">
        <v>4</v>
      </c>
      <c r="H311" s="79"/>
    </row>
    <row r="312" spans="1:8" ht="12.75">
      <c r="A312" s="80"/>
      <c r="B312" s="80"/>
      <c r="C312" s="80"/>
      <c r="D312" s="80"/>
      <c r="E312" s="80"/>
      <c r="F312" s="81" t="s">
        <v>537</v>
      </c>
      <c r="G312" s="82">
        <v>1</v>
      </c>
      <c r="H312" s="79"/>
    </row>
    <row r="313" spans="1:8" ht="12.75">
      <c r="A313" s="80"/>
      <c r="B313" s="80"/>
      <c r="C313" s="80"/>
      <c r="D313" s="80"/>
      <c r="E313" s="80"/>
      <c r="F313" s="81" t="s">
        <v>678</v>
      </c>
      <c r="G313" s="82">
        <v>1</v>
      </c>
      <c r="H313" s="79"/>
    </row>
    <row r="314" spans="1:8" ht="12.75">
      <c r="A314" s="80"/>
      <c r="B314" s="80"/>
      <c r="C314" s="80"/>
      <c r="D314" s="80"/>
      <c r="E314" s="80"/>
      <c r="F314" s="81" t="s">
        <v>679</v>
      </c>
      <c r="G314" s="82">
        <v>5</v>
      </c>
      <c r="H314" s="79"/>
    </row>
    <row r="315" spans="1:8" ht="12.75">
      <c r="A315" s="80" t="s">
        <v>460</v>
      </c>
      <c r="B315" s="80"/>
      <c r="C315" s="80" t="s">
        <v>461</v>
      </c>
      <c r="D315" s="80" t="s">
        <v>462</v>
      </c>
      <c r="E315" s="80" t="s">
        <v>100</v>
      </c>
      <c r="F315" s="81" t="s">
        <v>541</v>
      </c>
      <c r="G315" s="82">
        <v>4</v>
      </c>
      <c r="H315" s="83"/>
    </row>
    <row r="316" spans="1:8" ht="12.75">
      <c r="A316" s="80"/>
      <c r="B316" s="80"/>
      <c r="C316" s="80"/>
      <c r="D316" s="80"/>
      <c r="E316" s="80"/>
      <c r="F316" s="81" t="s">
        <v>680</v>
      </c>
      <c r="G316" s="82">
        <v>2</v>
      </c>
      <c r="H316" s="79"/>
    </row>
    <row r="317" spans="1:8" ht="12.75">
      <c r="A317" s="75" t="s">
        <v>463</v>
      </c>
      <c r="B317" s="75"/>
      <c r="C317" s="75" t="s">
        <v>464</v>
      </c>
      <c r="D317" s="75" t="s">
        <v>465</v>
      </c>
      <c r="E317" s="75" t="s">
        <v>100</v>
      </c>
      <c r="F317" s="76" t="s">
        <v>48</v>
      </c>
      <c r="G317" s="77">
        <v>5</v>
      </c>
      <c r="H317" s="78"/>
    </row>
    <row r="318" spans="1:8" ht="12.75">
      <c r="A318" s="75"/>
      <c r="B318" s="75"/>
      <c r="C318" s="75"/>
      <c r="D318" s="75"/>
      <c r="E318" s="75"/>
      <c r="F318" s="76" t="s">
        <v>48</v>
      </c>
      <c r="G318" s="77">
        <v>1</v>
      </c>
      <c r="H318" s="79"/>
    </row>
    <row r="319" spans="1:8" ht="12.75">
      <c r="A319" s="75"/>
      <c r="B319" s="75"/>
      <c r="C319" s="75"/>
      <c r="D319" s="75"/>
      <c r="E319" s="75"/>
      <c r="F319" s="76" t="s">
        <v>56</v>
      </c>
      <c r="G319" s="77">
        <v>3</v>
      </c>
      <c r="H319" s="79"/>
    </row>
    <row r="320" spans="1:8" ht="12.75">
      <c r="A320" s="80" t="s">
        <v>466</v>
      </c>
      <c r="B320" s="80"/>
      <c r="C320" s="80" t="s">
        <v>467</v>
      </c>
      <c r="D320" s="80" t="s">
        <v>468</v>
      </c>
      <c r="E320" s="80" t="s">
        <v>100</v>
      </c>
      <c r="F320" s="81" t="s">
        <v>540</v>
      </c>
      <c r="G320" s="82">
        <v>1</v>
      </c>
      <c r="H320" s="83"/>
    </row>
    <row r="321" spans="1:8" ht="12.75">
      <c r="A321" s="80" t="s">
        <v>469</v>
      </c>
      <c r="B321" s="80"/>
      <c r="C321" s="80" t="s">
        <v>470</v>
      </c>
      <c r="D321" s="80" t="s">
        <v>471</v>
      </c>
      <c r="E321" s="80" t="s">
        <v>100</v>
      </c>
      <c r="F321" s="81" t="s">
        <v>544</v>
      </c>
      <c r="G321" s="82">
        <v>1</v>
      </c>
      <c r="H321" s="83"/>
    </row>
    <row r="322" spans="1:8" ht="12.75">
      <c r="A322" s="80" t="s">
        <v>472</v>
      </c>
      <c r="B322" s="80"/>
      <c r="C322" s="80" t="s">
        <v>473</v>
      </c>
      <c r="D322" s="80" t="s">
        <v>474</v>
      </c>
      <c r="E322" s="80" t="s">
        <v>100</v>
      </c>
      <c r="F322" s="81" t="s">
        <v>681</v>
      </c>
      <c r="G322" s="82">
        <v>3</v>
      </c>
      <c r="H322" s="83"/>
    </row>
    <row r="323" spans="1:8" ht="12.75">
      <c r="A323" s="75" t="s">
        <v>477</v>
      </c>
      <c r="B323" s="75"/>
      <c r="C323" s="75" t="s">
        <v>478</v>
      </c>
      <c r="D323" s="75" t="s">
        <v>479</v>
      </c>
      <c r="E323" s="75" t="s">
        <v>100</v>
      </c>
      <c r="F323" s="76" t="s">
        <v>682</v>
      </c>
      <c r="G323" s="77">
        <v>1.63</v>
      </c>
      <c r="H323" s="78"/>
    </row>
    <row r="324" spans="1:8" ht="12.75">
      <c r="A324" s="75"/>
      <c r="B324" s="75"/>
      <c r="C324" s="75"/>
      <c r="D324" s="75"/>
      <c r="E324" s="75"/>
      <c r="F324" s="76" t="s">
        <v>683</v>
      </c>
      <c r="G324" s="77">
        <v>1.07</v>
      </c>
      <c r="H324" s="79"/>
    </row>
    <row r="325" spans="1:8" ht="12.75">
      <c r="A325" s="75" t="s">
        <v>483</v>
      </c>
      <c r="B325" s="75"/>
      <c r="C325" s="75" t="s">
        <v>484</v>
      </c>
      <c r="D325" s="75" t="s">
        <v>485</v>
      </c>
      <c r="E325" s="75" t="s">
        <v>64</v>
      </c>
      <c r="F325" s="76" t="s">
        <v>684</v>
      </c>
      <c r="G325" s="77">
        <v>23.14</v>
      </c>
      <c r="H325" s="78" t="s">
        <v>52</v>
      </c>
    </row>
    <row r="326" spans="1:8" ht="12.75">
      <c r="A326" s="75" t="s">
        <v>486</v>
      </c>
      <c r="B326" s="75"/>
      <c r="C326" s="75" t="s">
        <v>487</v>
      </c>
      <c r="D326" s="75" t="s">
        <v>488</v>
      </c>
      <c r="E326" s="75" t="s">
        <v>64</v>
      </c>
      <c r="F326" s="76" t="s">
        <v>684</v>
      </c>
      <c r="G326" s="77">
        <v>23.14</v>
      </c>
      <c r="H326" s="78" t="s">
        <v>52</v>
      </c>
    </row>
    <row r="327" spans="1:8" ht="12.75">
      <c r="A327" s="75" t="s">
        <v>489</v>
      </c>
      <c r="B327" s="75"/>
      <c r="C327" s="75" t="s">
        <v>490</v>
      </c>
      <c r="D327" s="75" t="s">
        <v>491</v>
      </c>
      <c r="E327" s="75" t="s">
        <v>64</v>
      </c>
      <c r="F327" s="76" t="s">
        <v>684</v>
      </c>
      <c r="G327" s="77">
        <v>23.14</v>
      </c>
      <c r="H327" s="78" t="s">
        <v>52</v>
      </c>
    </row>
    <row r="328" spans="1:8" ht="12.75">
      <c r="A328" s="75" t="s">
        <v>492</v>
      </c>
      <c r="B328" s="75"/>
      <c r="C328" s="75" t="s">
        <v>493</v>
      </c>
      <c r="D328" s="75" t="s">
        <v>494</v>
      </c>
      <c r="E328" s="75" t="s">
        <v>64</v>
      </c>
      <c r="F328" s="76" t="s">
        <v>685</v>
      </c>
      <c r="G328" s="77">
        <v>8.55</v>
      </c>
      <c r="H328" s="78" t="s">
        <v>52</v>
      </c>
    </row>
    <row r="329" spans="1:8" ht="12.75">
      <c r="A329" s="75" t="s">
        <v>495</v>
      </c>
      <c r="B329" s="75"/>
      <c r="C329" s="75" t="s">
        <v>496</v>
      </c>
      <c r="D329" s="75" t="s">
        <v>497</v>
      </c>
      <c r="E329" s="75" t="s">
        <v>64</v>
      </c>
      <c r="F329" s="76" t="s">
        <v>686</v>
      </c>
      <c r="G329" s="77">
        <v>14.59</v>
      </c>
      <c r="H329" s="78" t="s">
        <v>52</v>
      </c>
    </row>
    <row r="330" spans="1:8" ht="12.75">
      <c r="A330" s="75" t="s">
        <v>498</v>
      </c>
      <c r="B330" s="75"/>
      <c r="C330" s="75" t="s">
        <v>499</v>
      </c>
      <c r="D330" s="75" t="s">
        <v>500</v>
      </c>
      <c r="E330" s="75" t="s">
        <v>64</v>
      </c>
      <c r="F330" s="76" t="s">
        <v>687</v>
      </c>
      <c r="G330" s="77">
        <v>14.59</v>
      </c>
      <c r="H330" s="78" t="s">
        <v>52</v>
      </c>
    </row>
    <row r="331" spans="1:8" ht="12.75">
      <c r="A331" s="75" t="s">
        <v>501</v>
      </c>
      <c r="B331" s="75"/>
      <c r="C331" s="75" t="s">
        <v>502</v>
      </c>
      <c r="D331" s="75" t="s">
        <v>503</v>
      </c>
      <c r="E331" s="75" t="s">
        <v>64</v>
      </c>
      <c r="F331" s="76" t="s">
        <v>688</v>
      </c>
      <c r="G331" s="77">
        <v>7.79</v>
      </c>
      <c r="H331" s="78" t="s">
        <v>52</v>
      </c>
    </row>
    <row r="332" spans="1:8" ht="12.75">
      <c r="A332" s="75" t="s">
        <v>504</v>
      </c>
      <c r="B332" s="75"/>
      <c r="C332" s="75" t="s">
        <v>505</v>
      </c>
      <c r="D332" s="75" t="s">
        <v>506</v>
      </c>
      <c r="E332" s="75" t="s">
        <v>64</v>
      </c>
      <c r="F332" s="76" t="s">
        <v>689</v>
      </c>
      <c r="G332" s="77">
        <v>0.09</v>
      </c>
      <c r="H332" s="78" t="s">
        <v>52</v>
      </c>
    </row>
  </sheetData>
  <sheetProtection selectLockedCells="1" selectUnlockedCells="1"/>
  <mergeCells count="17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11.57421875" style="0" customWidth="1"/>
  </cols>
  <sheetData>
    <row r="1" spans="1:9" ht="28.5" customHeight="1">
      <c r="A1" s="86" t="s">
        <v>690</v>
      </c>
      <c r="B1" s="86"/>
      <c r="C1" s="86"/>
      <c r="D1" s="86"/>
      <c r="E1" s="86"/>
      <c r="F1" s="86"/>
      <c r="G1" s="86"/>
      <c r="H1" s="86"/>
      <c r="I1" s="86"/>
    </row>
    <row r="2" spans="1:10" ht="12.75" customHeight="1">
      <c r="A2" s="3" t="s">
        <v>1</v>
      </c>
      <c r="B2" s="3"/>
      <c r="C2" s="4" t="s">
        <v>2</v>
      </c>
      <c r="D2" s="4"/>
      <c r="E2" s="6" t="s">
        <v>4</v>
      </c>
      <c r="F2" s="6" t="s">
        <v>5</v>
      </c>
      <c r="G2" s="6"/>
      <c r="H2" s="6" t="s">
        <v>691</v>
      </c>
      <c r="I2" s="87" t="s">
        <v>692</v>
      </c>
      <c r="J2" s="8"/>
    </row>
    <row r="3" spans="1:10" ht="25.5" customHeight="1">
      <c r="A3" s="3"/>
      <c r="B3" s="3"/>
      <c r="C3" s="4"/>
      <c r="D3" s="4"/>
      <c r="E3" s="6"/>
      <c r="F3" s="6"/>
      <c r="G3" s="6"/>
      <c r="H3" s="6"/>
      <c r="I3" s="87"/>
      <c r="J3" s="8"/>
    </row>
    <row r="4" spans="1:10" ht="12.75" customHeight="1">
      <c r="A4" s="9" t="s">
        <v>6</v>
      </c>
      <c r="B4" s="9"/>
      <c r="C4" s="10"/>
      <c r="D4" s="10"/>
      <c r="E4" s="10" t="s">
        <v>9</v>
      </c>
      <c r="F4" s="10" t="s">
        <v>10</v>
      </c>
      <c r="G4" s="10"/>
      <c r="H4" s="10" t="s">
        <v>691</v>
      </c>
      <c r="I4" s="88" t="s">
        <v>693</v>
      </c>
      <c r="J4" s="8"/>
    </row>
    <row r="5" spans="1:10" ht="12.75">
      <c r="A5" s="9"/>
      <c r="B5" s="9"/>
      <c r="C5" s="10"/>
      <c r="D5" s="10"/>
      <c r="E5" s="10"/>
      <c r="F5" s="10"/>
      <c r="G5" s="10"/>
      <c r="H5" s="10"/>
      <c r="I5" s="88"/>
      <c r="J5" s="8"/>
    </row>
    <row r="6" spans="1:10" ht="12.75" customHeight="1">
      <c r="A6" s="9" t="s">
        <v>11</v>
      </c>
      <c r="B6" s="9"/>
      <c r="C6" s="10" t="s">
        <v>12</v>
      </c>
      <c r="D6" s="10"/>
      <c r="E6" s="10" t="s">
        <v>14</v>
      </c>
      <c r="F6" s="10"/>
      <c r="G6" s="10"/>
      <c r="H6" s="10" t="s">
        <v>691</v>
      </c>
      <c r="I6" s="88"/>
      <c r="J6" s="8"/>
    </row>
    <row r="7" spans="1:10" ht="12.75">
      <c r="A7" s="9"/>
      <c r="B7" s="9"/>
      <c r="C7" s="10"/>
      <c r="D7" s="10"/>
      <c r="E7" s="10"/>
      <c r="F7" s="10"/>
      <c r="G7" s="10"/>
      <c r="H7" s="10"/>
      <c r="I7" s="88"/>
      <c r="J7" s="8"/>
    </row>
    <row r="8" spans="1:10" ht="12.75" customHeight="1">
      <c r="A8" s="9" t="s">
        <v>7</v>
      </c>
      <c r="B8" s="9"/>
      <c r="C8" s="11" t="s">
        <v>8</v>
      </c>
      <c r="D8" s="11"/>
      <c r="E8" s="10" t="s">
        <v>13</v>
      </c>
      <c r="F8" s="13"/>
      <c r="G8" s="13"/>
      <c r="H8" s="11" t="s">
        <v>694</v>
      </c>
      <c r="I8" s="88" t="s">
        <v>504</v>
      </c>
      <c r="J8" s="8"/>
    </row>
    <row r="9" spans="1:10" ht="12.75">
      <c r="A9" s="9"/>
      <c r="B9" s="9"/>
      <c r="C9" s="11"/>
      <c r="D9" s="11"/>
      <c r="E9" s="10"/>
      <c r="F9" s="10"/>
      <c r="G9" s="13"/>
      <c r="H9" s="11"/>
      <c r="I9" s="88"/>
      <c r="J9" s="8"/>
    </row>
    <row r="10" spans="1:10" ht="12.75" customHeight="1">
      <c r="A10" s="89" t="s">
        <v>15</v>
      </c>
      <c r="B10" s="89"/>
      <c r="C10" s="90"/>
      <c r="D10" s="90"/>
      <c r="E10" s="90" t="s">
        <v>17</v>
      </c>
      <c r="F10" s="90" t="s">
        <v>18</v>
      </c>
      <c r="G10" s="90"/>
      <c r="H10" s="91" t="s">
        <v>695</v>
      </c>
      <c r="I10" s="92">
        <v>41571</v>
      </c>
      <c r="J10" s="8"/>
    </row>
    <row r="11" spans="1:10" ht="12.75">
      <c r="A11" s="89"/>
      <c r="B11" s="89"/>
      <c r="C11" s="90"/>
      <c r="D11" s="90"/>
      <c r="E11" s="90"/>
      <c r="F11" s="90"/>
      <c r="G11" s="90"/>
      <c r="H11" s="91"/>
      <c r="I11" s="92"/>
      <c r="J11" s="8"/>
    </row>
    <row r="12" spans="1:9" ht="23.25" customHeight="1">
      <c r="A12" s="93" t="s">
        <v>696</v>
      </c>
      <c r="B12" s="93"/>
      <c r="C12" s="93"/>
      <c r="D12" s="93"/>
      <c r="E12" s="93"/>
      <c r="F12" s="93"/>
      <c r="G12" s="93"/>
      <c r="H12" s="93"/>
      <c r="I12" s="93"/>
    </row>
    <row r="13" spans="1:10" ht="26.25" customHeight="1">
      <c r="A13" s="94" t="s">
        <v>697</v>
      </c>
      <c r="B13" s="95" t="s">
        <v>698</v>
      </c>
      <c r="C13" s="95"/>
      <c r="D13" s="94" t="s">
        <v>699</v>
      </c>
      <c r="E13" s="95" t="s">
        <v>700</v>
      </c>
      <c r="F13" s="95"/>
      <c r="G13" s="94" t="s">
        <v>701</v>
      </c>
      <c r="H13" s="95" t="s">
        <v>702</v>
      </c>
      <c r="I13" s="95"/>
      <c r="J13" s="8"/>
    </row>
    <row r="14" spans="1:10" ht="15" customHeight="1">
      <c r="A14" s="96" t="s">
        <v>703</v>
      </c>
      <c r="B14" s="97" t="s">
        <v>704</v>
      </c>
      <c r="C14" s="98"/>
      <c r="D14" s="97" t="s">
        <v>705</v>
      </c>
      <c r="E14" s="97"/>
      <c r="F14" s="98"/>
      <c r="G14" s="97" t="s">
        <v>706</v>
      </c>
      <c r="H14" s="97"/>
      <c r="I14" s="98"/>
      <c r="J14" s="8"/>
    </row>
    <row r="15" spans="1:10" ht="15" customHeight="1">
      <c r="A15" s="99"/>
      <c r="B15" s="97" t="s">
        <v>32</v>
      </c>
      <c r="C15" s="98"/>
      <c r="D15" s="97" t="s">
        <v>707</v>
      </c>
      <c r="E15" s="97"/>
      <c r="F15" s="98"/>
      <c r="G15" s="97" t="s">
        <v>708</v>
      </c>
      <c r="H15" s="97"/>
      <c r="I15" s="98"/>
      <c r="J15" s="8"/>
    </row>
    <row r="16" spans="1:10" ht="15" customHeight="1">
      <c r="A16" s="96" t="s">
        <v>709</v>
      </c>
      <c r="B16" s="97" t="s">
        <v>704</v>
      </c>
      <c r="C16" s="98"/>
      <c r="D16" s="97" t="s">
        <v>710</v>
      </c>
      <c r="E16" s="97"/>
      <c r="F16" s="98"/>
      <c r="G16" s="97" t="s">
        <v>711</v>
      </c>
      <c r="H16" s="97"/>
      <c r="I16" s="98"/>
      <c r="J16" s="8"/>
    </row>
    <row r="17" spans="1:10" ht="15" customHeight="1">
      <c r="A17" s="99"/>
      <c r="B17" s="97" t="s">
        <v>32</v>
      </c>
      <c r="C17" s="98"/>
      <c r="D17" s="97"/>
      <c r="E17" s="97"/>
      <c r="F17" s="100"/>
      <c r="G17" s="97" t="s">
        <v>712</v>
      </c>
      <c r="H17" s="97"/>
      <c r="I17" s="98"/>
      <c r="J17" s="8"/>
    </row>
    <row r="18" spans="1:10" ht="15" customHeight="1">
      <c r="A18" s="96" t="s">
        <v>713</v>
      </c>
      <c r="B18" s="97" t="s">
        <v>704</v>
      </c>
      <c r="C18" s="98"/>
      <c r="D18" s="97"/>
      <c r="E18" s="97"/>
      <c r="F18" s="100"/>
      <c r="G18" s="97" t="s">
        <v>714</v>
      </c>
      <c r="H18" s="97"/>
      <c r="I18" s="98"/>
      <c r="J18" s="8"/>
    </row>
    <row r="19" spans="1:10" ht="15" customHeight="1">
      <c r="A19" s="99"/>
      <c r="B19" s="97" t="s">
        <v>32</v>
      </c>
      <c r="C19" s="98"/>
      <c r="D19" s="97"/>
      <c r="E19" s="97"/>
      <c r="F19" s="100"/>
      <c r="G19" s="97" t="s">
        <v>715</v>
      </c>
      <c r="H19" s="97"/>
      <c r="I19" s="98"/>
      <c r="J19" s="8"/>
    </row>
    <row r="20" spans="1:10" ht="15" customHeight="1">
      <c r="A20" s="101" t="s">
        <v>716</v>
      </c>
      <c r="B20" s="101"/>
      <c r="C20" s="98"/>
      <c r="D20" s="97"/>
      <c r="E20" s="97"/>
      <c r="F20" s="100"/>
      <c r="G20" s="97"/>
      <c r="H20" s="97"/>
      <c r="I20" s="100"/>
      <c r="J20" s="8"/>
    </row>
    <row r="21" spans="1:10" ht="15" customHeight="1">
      <c r="A21" s="101" t="s">
        <v>717</v>
      </c>
      <c r="B21" s="101"/>
      <c r="C21" s="98"/>
      <c r="D21" s="97"/>
      <c r="E21" s="97"/>
      <c r="F21" s="100"/>
      <c r="G21" s="97"/>
      <c r="H21" s="97"/>
      <c r="I21" s="100"/>
      <c r="J21" s="8"/>
    </row>
    <row r="22" spans="1:10" ht="16.5" customHeight="1">
      <c r="A22" s="101" t="s">
        <v>718</v>
      </c>
      <c r="B22" s="101"/>
      <c r="C22" s="98"/>
      <c r="D22" s="101" t="s">
        <v>719</v>
      </c>
      <c r="E22" s="101"/>
      <c r="F22" s="98"/>
      <c r="G22" s="101" t="s">
        <v>720</v>
      </c>
      <c r="H22" s="101"/>
      <c r="I22" s="98"/>
      <c r="J22" s="8"/>
    </row>
    <row r="23" spans="1:9" ht="12.75">
      <c r="A23" s="102"/>
      <c r="B23" s="102"/>
      <c r="C23" s="102"/>
      <c r="D23" s="51"/>
      <c r="E23" s="51"/>
      <c r="F23" s="51"/>
      <c r="G23" s="51"/>
      <c r="H23" s="51"/>
      <c r="I23" s="51"/>
    </row>
    <row r="24" spans="1:9" ht="15" customHeight="1">
      <c r="A24" s="103" t="s">
        <v>721</v>
      </c>
      <c r="B24" s="103"/>
      <c r="C24" s="104"/>
      <c r="D24" s="105"/>
      <c r="E24" s="49"/>
      <c r="F24" s="49"/>
      <c r="G24" s="49"/>
      <c r="H24" s="49"/>
      <c r="I24" s="49"/>
    </row>
    <row r="25" spans="1:10" ht="15" customHeight="1">
      <c r="A25" s="103" t="s">
        <v>722</v>
      </c>
      <c r="B25" s="103"/>
      <c r="C25" s="104"/>
      <c r="D25" s="103" t="s">
        <v>723</v>
      </c>
      <c r="E25" s="103"/>
      <c r="F25" s="104"/>
      <c r="G25" s="103" t="s">
        <v>724</v>
      </c>
      <c r="H25" s="103"/>
      <c r="I25" s="104"/>
      <c r="J25" s="8"/>
    </row>
    <row r="26" spans="1:10" ht="15" customHeight="1">
      <c r="A26" s="103" t="s">
        <v>725</v>
      </c>
      <c r="B26" s="103"/>
      <c r="C26" s="104"/>
      <c r="D26" s="103" t="s">
        <v>726</v>
      </c>
      <c r="E26" s="103"/>
      <c r="F26" s="104"/>
      <c r="G26" s="103" t="s">
        <v>727</v>
      </c>
      <c r="H26" s="103"/>
      <c r="I26" s="104"/>
      <c r="J26" s="8"/>
    </row>
    <row r="27" spans="1:9" ht="12.75">
      <c r="A27" s="106"/>
      <c r="B27" s="106"/>
      <c r="C27" s="106"/>
      <c r="D27" s="106"/>
      <c r="E27" s="106"/>
      <c r="F27" s="106"/>
      <c r="G27" s="106"/>
      <c r="H27" s="106"/>
      <c r="I27" s="106"/>
    </row>
    <row r="28" spans="1:10" ht="14.25" customHeight="1">
      <c r="A28" s="107" t="s">
        <v>728</v>
      </c>
      <c r="B28" s="107"/>
      <c r="C28" s="107"/>
      <c r="D28" s="107" t="s">
        <v>729</v>
      </c>
      <c r="E28" s="107"/>
      <c r="F28" s="107"/>
      <c r="G28" s="107" t="s">
        <v>730</v>
      </c>
      <c r="H28" s="107"/>
      <c r="I28" s="107"/>
      <c r="J28" s="25"/>
    </row>
    <row r="29" spans="1:10" ht="14.2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25"/>
    </row>
    <row r="30" spans="1:10" ht="14.2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25"/>
    </row>
    <row r="31" spans="1:10" ht="14.2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25"/>
    </row>
    <row r="32" spans="1:10" ht="14.25" customHeight="1">
      <c r="A32" s="109" t="s">
        <v>731</v>
      </c>
      <c r="B32" s="109"/>
      <c r="C32" s="109"/>
      <c r="D32" s="109" t="s">
        <v>731</v>
      </c>
      <c r="E32" s="109"/>
      <c r="F32" s="109"/>
      <c r="G32" s="109" t="s">
        <v>731</v>
      </c>
      <c r="H32" s="109"/>
      <c r="I32" s="109"/>
      <c r="J32" s="25"/>
    </row>
    <row r="33" spans="1:9" ht="11.25" customHeight="1">
      <c r="A33" s="110" t="s">
        <v>508</v>
      </c>
      <c r="B33" s="63"/>
      <c r="C33" s="63"/>
      <c r="D33" s="63"/>
      <c r="E33" s="63"/>
      <c r="F33" s="63"/>
      <c r="G33" s="63"/>
      <c r="H33" s="63"/>
      <c r="I33" s="63"/>
    </row>
    <row r="34" spans="1:9" ht="12.75" customHeight="1">
      <c r="A34" s="10" t="s">
        <v>509</v>
      </c>
      <c r="B34" s="10"/>
      <c r="C34" s="10"/>
      <c r="D34" s="10"/>
      <c r="E34" s="10"/>
      <c r="F34" s="10"/>
      <c r="G34" s="10"/>
      <c r="H34" s="10"/>
      <c r="I34" s="10"/>
    </row>
  </sheetData>
  <sheetProtection selectLockedCells="1" selectUnlockedCells="1"/>
  <mergeCells count="79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4:I34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2013-10-29T07:51:35Z</dcterms:modified>
  <cp:category/>
  <cp:version/>
  <cp:contentType/>
  <cp:contentStatus/>
  <cp:revision>1</cp:revision>
</cp:coreProperties>
</file>