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3080" tabRatio="773" activeTab="4"/>
  </bookViews>
  <sheets>
    <sheet name="Rekapitulace" sheetId="1" r:id="rId1"/>
    <sheet name="01-Krycí list RZP" sheetId="2" r:id="rId2"/>
    <sheet name="01-RZP" sheetId="3" r:id="rId3"/>
    <sheet name="02-Krycí list RZP" sheetId="4" r:id="rId4"/>
    <sheet name="02-RZP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<sst xmlns="http://schemas.openxmlformats.org/spreadsheetml/2006/main" count="818" uniqueCount="333">
  <si>
    <t>Název stavby:</t>
  </si>
  <si>
    <t>Investor:</t>
  </si>
  <si>
    <t>Místo stavby:</t>
  </si>
  <si>
    <t>Datum vypracování:</t>
  </si>
  <si>
    <t>objektu</t>
  </si>
  <si>
    <t>Název objektu</t>
  </si>
  <si>
    <t>A - ZRN</t>
  </si>
  <si>
    <t>B - DN</t>
  </si>
  <si>
    <t>C - NUS</t>
  </si>
  <si>
    <t>bez DPH</t>
  </si>
  <si>
    <t>DPH</t>
  </si>
  <si>
    <t>s DPH</t>
  </si>
  <si>
    <t>Druh stavby:</t>
  </si>
  <si>
    <t>D - Celkové náklady</t>
  </si>
  <si>
    <t>Číslo</t>
  </si>
  <si>
    <t>stavebního</t>
  </si>
  <si>
    <t>Základní rozp.</t>
  </si>
  <si>
    <t>náklady</t>
  </si>
  <si>
    <t>Doplňkové</t>
  </si>
  <si>
    <t>Náklady na</t>
  </si>
  <si>
    <t>Cena celkem</t>
  </si>
  <si>
    <t>Cena celkem ( Kč )</t>
  </si>
  <si>
    <t>KRYCÍ LIST ROZPOČTU</t>
  </si>
  <si>
    <t>Rekapitulace celkových nákladů pro provedení stavby</t>
  </si>
  <si>
    <t>umístění stavby</t>
  </si>
  <si>
    <t>01</t>
  </si>
  <si>
    <t>02</t>
  </si>
  <si>
    <t>Přemysl Cieslar</t>
  </si>
  <si>
    <t>Beskydská 697, 739 61 Třinec</t>
  </si>
  <si>
    <t xml:space="preserve">Vypracoval:  </t>
  </si>
  <si>
    <t>Oprava Radnice Města Jablunkov č.p. 144</t>
  </si>
  <si>
    <t>k.ú. Jablunkov, parc.č. 631</t>
  </si>
  <si>
    <t>Město Jablunkov, Dukelská 144, 739 91  Jablunkov</t>
  </si>
  <si>
    <t>Vstupní schodiště</t>
  </si>
  <si>
    <t>Vnitřní schodiště</t>
  </si>
  <si>
    <t>Stavební rozpočet</t>
  </si>
  <si>
    <t>Oprava Radnice Města Jablunkov</t>
  </si>
  <si>
    <t>Doba výstavby:</t>
  </si>
  <si>
    <t>Objednatel:</t>
  </si>
  <si>
    <t>Začátek výstavby:</t>
  </si>
  <si>
    <t>Projektant:</t>
  </si>
  <si>
    <t>Lokalita:</t>
  </si>
  <si>
    <t>Obec Jablunkov,; k.ú. Jablunkov</t>
  </si>
  <si>
    <t>Konec výstavby:</t>
  </si>
  <si>
    <t>Zhotovitel:</t>
  </si>
  <si>
    <t>JKSO:</t>
  </si>
  <si>
    <t>Zpracováno dne:</t>
  </si>
  <si>
    <t>Zpracoval: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</si>
  <si>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</si>
  <si>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</si>
  <si>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</si>
  <si>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</si>
  <si>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</si>
  <si>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</si>
  <si>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</si>
  <si>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</si>
  <si>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</si>
  <si>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</si>
  <si>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</si>
  <si>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</si>
  <si>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</si>
  <si>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</si>
  <si>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</si>
  <si>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</si>
  <si>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</si>
  <si>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</si>
  <si>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</si>
  <si>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</si>
  <si>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</si>
  <si>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</si>
  <si>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</si>
  <si>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</t>
  </si>
  <si>
    <t>Hloubené vykopávky</t>
  </si>
  <si>
    <t>HS</t>
  </si>
  <si>
    <t>1</t>
  </si>
  <si>
    <t>131201201R00</t>
  </si>
  <si>
    <t>Hloubení zapažených jam v hor.3 do 100 m3</t>
  </si>
  <si>
    <t>m3</t>
  </si>
  <si>
    <t>2</t>
  </si>
  <si>
    <t>131201209R00</t>
  </si>
  <si>
    <t>Příplatek za lepivost - hloubení zapaž.jam v hor.3</t>
  </si>
  <si>
    <t>16</t>
  </si>
  <si>
    <t>Přemístění výkopku</t>
  </si>
  <si>
    <t>3</t>
  </si>
  <si>
    <t>162201151R00</t>
  </si>
  <si>
    <t>Vodorovné přemístění výkopku z hor.5-7 do 20 m</t>
  </si>
  <si>
    <t>4</t>
  </si>
  <si>
    <t>162301102R00</t>
  </si>
  <si>
    <t>Vodorovné přemístění výkopku z hor.1-4 do 1000 m</t>
  </si>
  <si>
    <t>5</t>
  </si>
  <si>
    <t>162601102R00</t>
  </si>
  <si>
    <t>Vodorovné přemístění výkopku z hor.1-4 do 5000 m</t>
  </si>
  <si>
    <t>17</t>
  </si>
  <si>
    <t>Konstrukce ze zemin</t>
  </si>
  <si>
    <t>6</t>
  </si>
  <si>
    <t>171201201RT1</t>
  </si>
  <si>
    <t>Uložení sypaniny na skládku</t>
  </si>
  <si>
    <t>7</t>
  </si>
  <si>
    <t>174101101R00</t>
  </si>
  <si>
    <t>Zásyp jam, rýh, šachet se zhutněním</t>
  </si>
  <si>
    <t>8</t>
  </si>
  <si>
    <t>12261430</t>
  </si>
  <si>
    <t>Struska kusová  zrnitost 16 -  32 mm</t>
  </si>
  <si>
    <t>T</t>
  </si>
  <si>
    <t>0</t>
  </si>
  <si>
    <t>9</t>
  </si>
  <si>
    <t>172103109R00</t>
  </si>
  <si>
    <t>Příplatek za zhutnění na 45 Mpa</t>
  </si>
  <si>
    <t>18</t>
  </si>
  <si>
    <t>10</t>
  </si>
  <si>
    <t>m2</t>
  </si>
  <si>
    <t>11</t>
  </si>
  <si>
    <t>12</t>
  </si>
  <si>
    <t>27</t>
  </si>
  <si>
    <t>Základy</t>
  </si>
  <si>
    <t>274314115R00</t>
  </si>
  <si>
    <t>Beton základových pasů prostý síranovzd. B 20</t>
  </si>
  <si>
    <t>14</t>
  </si>
  <si>
    <t>274351215R00</t>
  </si>
  <si>
    <t>Bednění stěn základových pasů - zřízení</t>
  </si>
  <si>
    <t>15</t>
  </si>
  <si>
    <t>274351216R00</t>
  </si>
  <si>
    <t>Bednění stěn základových pasů - odstranění</t>
  </si>
  <si>
    <t>979011111R00</t>
  </si>
  <si>
    <t>Svislá doprava suti a vybour. hmot za 2.NP a 1.PP</t>
  </si>
  <si>
    <t>t</t>
  </si>
  <si>
    <t>31</t>
  </si>
  <si>
    <t>Zdi podpěrné a volné</t>
  </si>
  <si>
    <t>319201311R00</t>
  </si>
  <si>
    <t>Vyrovnání povrchu zdiva maltou tl.do 3 cm</t>
  </si>
  <si>
    <t>46</t>
  </si>
  <si>
    <t>Zpevněné plochy (kromě vozovek a železnič. svršku)</t>
  </si>
  <si>
    <t>461921113R00</t>
  </si>
  <si>
    <t>Osazení původních stupňů do 1000 kg</t>
  </si>
  <si>
    <t>kus</t>
  </si>
  <si>
    <t>56</t>
  </si>
  <si>
    <t>Podkladní vrstvy komunikací, letišť a ploch</t>
  </si>
  <si>
    <t>19</t>
  </si>
  <si>
    <t>564451111R00</t>
  </si>
  <si>
    <t>Podklad ze struskového štěrku tloušťky 15 cm</t>
  </si>
  <si>
    <t>20</t>
  </si>
  <si>
    <t>564201111R00</t>
  </si>
  <si>
    <t>Podklad ze štěrkopísku po zhutnění tloušťky 4 cm</t>
  </si>
  <si>
    <t>21</t>
  </si>
  <si>
    <t>59</t>
  </si>
  <si>
    <t>Dlažby pozemních komunikací a ploch</t>
  </si>
  <si>
    <t>22</t>
  </si>
  <si>
    <t>596215021R00</t>
  </si>
  <si>
    <t>Kladení zámkové dlažby tl. 6 cm do drtě tl. 4 cm</t>
  </si>
  <si>
    <t>23</t>
  </si>
  <si>
    <t>59246110</t>
  </si>
  <si>
    <t>Dlažba betonová tl. 60 mm přírodní</t>
  </si>
  <si>
    <t>24</t>
  </si>
  <si>
    <t>62</t>
  </si>
  <si>
    <t>Úprava povrchů vnější</t>
  </si>
  <si>
    <t>25</t>
  </si>
  <si>
    <t>622472163R00</t>
  </si>
  <si>
    <t>Omítka stěn vnější z MS silikonová slož. III.ručně</t>
  </si>
  <si>
    <t>26</t>
  </si>
  <si>
    <t>711</t>
  </si>
  <si>
    <t>Izolace proti vodě</t>
  </si>
  <si>
    <t>PS</t>
  </si>
  <si>
    <t>711212002RT2</t>
  </si>
  <si>
    <t>Stěrka hydroizolační těsnicí hmotou</t>
  </si>
  <si>
    <t>28</t>
  </si>
  <si>
    <t>711482011RZ1</t>
  </si>
  <si>
    <t>Izolační systém fólií Platon, svisle</t>
  </si>
  <si>
    <t>29</t>
  </si>
  <si>
    <t>713</t>
  </si>
  <si>
    <t>Izolace tepelné</t>
  </si>
  <si>
    <t>30</t>
  </si>
  <si>
    <t>713130020RAA</t>
  </si>
  <si>
    <t>Izolace tepelná stěn přibití polystyren tl. 20 mm</t>
  </si>
  <si>
    <t>762</t>
  </si>
  <si>
    <t>Konstrukce tesařské</t>
  </si>
  <si>
    <t>32</t>
  </si>
  <si>
    <t>762211240R00</t>
  </si>
  <si>
    <t>Oprava schodišťových stupňů z pískovce</t>
  </si>
  <si>
    <t>m</t>
  </si>
  <si>
    <t>33</t>
  </si>
  <si>
    <t>771120212R00</t>
  </si>
  <si>
    <t>Kladení stupňů na podstupnice do tmele</t>
  </si>
  <si>
    <t>34</t>
  </si>
  <si>
    <t>766</t>
  </si>
  <si>
    <t>Konstrukce truhlářské</t>
  </si>
  <si>
    <t>35</t>
  </si>
  <si>
    <t>766950010RAB</t>
  </si>
  <si>
    <t>36</t>
  </si>
  <si>
    <t>771</t>
  </si>
  <si>
    <t>Podlahy z dlaždic</t>
  </si>
  <si>
    <t>37</t>
  </si>
  <si>
    <t>771101121R00</t>
  </si>
  <si>
    <t>Provedení penetrace podkladu</t>
  </si>
  <si>
    <t>88</t>
  </si>
  <si>
    <t>Potrubí z drenážek</t>
  </si>
  <si>
    <t>38</t>
  </si>
  <si>
    <t>881247211R00</t>
  </si>
  <si>
    <t>Potrubí z drenážních trubek, přeložení DN 80</t>
  </si>
  <si>
    <t>39</t>
  </si>
  <si>
    <t>69366197</t>
  </si>
  <si>
    <t>Geotextilie FILTEK 200 g/m2 š. 200cm 100% PP</t>
  </si>
  <si>
    <t>40</t>
  </si>
  <si>
    <t>90</t>
  </si>
  <si>
    <t>Hodinové zúčtovací sazby (HZS)</t>
  </si>
  <si>
    <t>41</t>
  </si>
  <si>
    <t>911      R00</t>
  </si>
  <si>
    <t>Vytýčení sítí TI</t>
  </si>
  <si>
    <t>hod</t>
  </si>
  <si>
    <t>91</t>
  </si>
  <si>
    <t>Doplňující konstrukce a práce pozemních komunikací, letišť a ploch</t>
  </si>
  <si>
    <t>42</t>
  </si>
  <si>
    <t>917862111RT5</t>
  </si>
  <si>
    <t>Osazení stojat. obrub. bet. s opěrou,lože z B 12,5</t>
  </si>
  <si>
    <t>43</t>
  </si>
  <si>
    <t>96</t>
  </si>
  <si>
    <t>Bourání konstrukcí</t>
  </si>
  <si>
    <t>44</t>
  </si>
  <si>
    <t>965043441R00</t>
  </si>
  <si>
    <t>Bourání podkladů bet., potěr tl. 15 cm, nad 4 m2</t>
  </si>
  <si>
    <t>45</t>
  </si>
  <si>
    <t>965082923R00</t>
  </si>
  <si>
    <t>Odstranění násypu tl. do 10 cm, plocha nad 2 m2</t>
  </si>
  <si>
    <t>968061137R00</t>
  </si>
  <si>
    <t>Vyvěšení dřevěných křídel vrat plochy nad 4 m2</t>
  </si>
  <si>
    <t>47</t>
  </si>
  <si>
    <t>962032241R00</t>
  </si>
  <si>
    <t>Bourání zdiva z cihel pálených na MC</t>
  </si>
  <si>
    <t>48</t>
  </si>
  <si>
    <t>963015171R00</t>
  </si>
  <si>
    <t>Demontáž pískovcových stupńů do 4,0 t</t>
  </si>
  <si>
    <t>49</t>
  </si>
  <si>
    <t>S0</t>
  </si>
  <si>
    <t>Přesuny sutí</t>
  </si>
  <si>
    <t>PR</t>
  </si>
  <si>
    <t>50</t>
  </si>
  <si>
    <t>979085111R00</t>
  </si>
  <si>
    <t>Vodorovná doprava rozebraných stupňů do 5 km-odvoz k opravě</t>
  </si>
  <si>
    <t>51</t>
  </si>
  <si>
    <t>Vodorovná doprava rozebraných stupňů do 5 km-doprava na stavbu</t>
  </si>
  <si>
    <t>52</t>
  </si>
  <si>
    <t>979082313R00</t>
  </si>
  <si>
    <t>Vodorovná doprava suti a hmot po suchu do 1000 m</t>
  </si>
  <si>
    <t>53</t>
  </si>
  <si>
    <t>979082319R00</t>
  </si>
  <si>
    <t>Příplatek k vodor.dopravě po suchu, dalších 1000 m</t>
  </si>
  <si>
    <t>54</t>
  </si>
  <si>
    <t>979999999R00</t>
  </si>
  <si>
    <t>Poplatek za skladku suti</t>
  </si>
  <si>
    <t>Celkem: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</si>
  <si>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</si>
  <si>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</si>
  <si>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</si>
  <si>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</si>
  <si>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</si>
  <si>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</si>
  <si>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</si>
  <si>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</si>
  <si>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</si>
  <si>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</si>
  <si>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</si>
  <si>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</si>
  <si>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</si>
  <si>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</si>
  <si>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</si>
  <si>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</si>
  <si>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</si>
  <si>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</si>
  <si>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</si>
  <si>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</si>
  <si>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</si>
  <si>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</si>
  <si>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</si>
  <si>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</si>
  <si>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</si>
  <si>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</si>
  <si>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</si>
  <si>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</si>
  <si>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</si>
  <si>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</si>
  <si>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10%</t>
  </si>
  <si>
    <t>Celkem bez DPH</t>
  </si>
  <si>
    <t>Základ 20%</t>
  </si>
  <si>
    <t>Celkem včetně DPH</t>
  </si>
  <si>
    <t>Projektant</t>
  </si>
  <si>
    <t>Objednatel</t>
  </si>
  <si>
    <t>Zhotovitel</t>
  </si>
  <si>
    <t>Datum, razítko a podpis</t>
  </si>
  <si>
    <t>55</t>
  </si>
  <si>
    <t>Osazení nových stupňů do 1000 kg</t>
  </si>
  <si>
    <t>63</t>
  </si>
  <si>
    <t>Podlahy, podlahové konstrukce</t>
  </si>
  <si>
    <t>631312411R00</t>
  </si>
  <si>
    <t>Mazanina betonová tl. 5 - 8 cm B 10 (C 8/10)</t>
  </si>
  <si>
    <t>58380757</t>
  </si>
  <si>
    <t>Kámen pískovec výběrový 1t/ks</t>
  </si>
  <si>
    <t>154903111R00</t>
  </si>
  <si>
    <t>Řezání kamenných prvků</t>
  </si>
  <si>
    <t>Oprava dřevěných dveří - výměna prahu</t>
  </si>
  <si>
    <t>773</t>
  </si>
  <si>
    <t>Podlahy z litého teraca</t>
  </si>
  <si>
    <t>773500910R00</t>
  </si>
  <si>
    <t>Opravy teracových podlah, pásy š. 15 cm</t>
  </si>
  <si>
    <t>Štětové stěny</t>
  </si>
  <si>
    <t>239941131R00</t>
  </si>
  <si>
    <t>Pomocná konstrukce ze dřeva.-odstran</t>
  </si>
  <si>
    <t>239941121R00</t>
  </si>
  <si>
    <t>Pomocná konstrukce ze dřeva.-zřízení</t>
  </si>
  <si>
    <t>Vodorovoná doprava hmot za 2.NP a 1.PP</t>
  </si>
  <si>
    <t>979084113R00</t>
  </si>
  <si>
    <t>Vodorovná doprava hmot po suchu do 1000 m</t>
  </si>
  <si>
    <t>61</t>
  </si>
  <si>
    <t>Úprava povrchů vnitřní</t>
  </si>
  <si>
    <t>610991111R00</t>
  </si>
  <si>
    <t>Zakrývání výplní vnitřních otvorů</t>
  </si>
  <si>
    <t>766211200R00</t>
  </si>
  <si>
    <t>Montáž madel schodišť. dřevěných průběžných</t>
  </si>
  <si>
    <t>766414111R00</t>
  </si>
  <si>
    <t>Obložení stěn dřvěným obkladem</t>
  </si>
  <si>
    <t>766411811R00</t>
  </si>
  <si>
    <t>Demontáž obložení stěn dřevem</t>
  </si>
  <si>
    <t>773511360R00</t>
  </si>
  <si>
    <t>Podlahy z přírodního teraca, prosté tl. 3 cm</t>
  </si>
  <si>
    <t>775</t>
  </si>
  <si>
    <t>Podlahy vlysové a parketové</t>
  </si>
  <si>
    <t>775411810R00</t>
  </si>
  <si>
    <t>Demontáž lišt dřevěných, přibíjených</t>
  </si>
  <si>
    <t>775413010R00</t>
  </si>
  <si>
    <t>Montáž podlahové lišty ze dřeva, přibíjené</t>
  </si>
  <si>
    <t>DPH 21%</t>
  </si>
  <si>
    <t>DPH 15%</t>
  </si>
  <si>
    <t>oprava vstupního a vnitřního schodiště</t>
  </si>
  <si>
    <t>01 - Oprava vstupního schodiště</t>
  </si>
  <si>
    <t>02 - Oprava vnitřního schodiště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</si>
</sst>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0.E+00"/>
    <numFmt numFmtId="167" formatCode="#,##0.00_ ;\-#,##0.00\ "/>
  </numFmts>
  <fonts count="37">
    <font>
      <sz val="10"/>
      <name val="Arial"/>
      <family val="0"/>
    </font>
    <font>
      <sz val="8"/>
      <name val="Arial"/>
      <family val="2"/>
    </font>
    <font>
      <b/>
      <sz val="14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5" fillId="0" borderId="0" xfId="0" applyFont="1" applyAlignment="1">
      <alignment/>
    </xf>
    <xf numFmtId="0" fontId="3" fillId="19" borderId="12" xfId="0" applyFont="1" applyFill="1" applyBorder="1" applyAlignment="1">
      <alignment horizontal="left" indent="1"/>
    </xf>
    <xf numFmtId="0" fontId="5" fillId="19" borderId="12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left" vertical="center" indent="1"/>
    </xf>
    <xf numFmtId="0" fontId="5" fillId="19" borderId="14" xfId="0" applyFont="1" applyFill="1" applyBorder="1" applyAlignment="1">
      <alignment horizontal="left" vertical="center" indent="1"/>
    </xf>
    <xf numFmtId="0" fontId="3" fillId="19" borderId="15" xfId="0" applyFont="1" applyFill="1" applyBorder="1" applyAlignment="1">
      <alignment horizontal="left" vertical="top" indent="1"/>
    </xf>
    <xf numFmtId="0" fontId="5" fillId="19" borderId="15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left" vertical="center" indent="1"/>
    </xf>
    <xf numFmtId="9" fontId="3" fillId="19" borderId="15" xfId="0" applyNumberFormat="1" applyFont="1" applyFill="1" applyBorder="1" applyAlignment="1">
      <alignment horizontal="left" vertical="center" indent="1"/>
    </xf>
    <xf numFmtId="4" fontId="5" fillId="19" borderId="13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4" fontId="5" fillId="0" borderId="8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left" vertical="center" indent="1"/>
    </xf>
    <xf numFmtId="4" fontId="5" fillId="0" borderId="17" xfId="0" applyNumberFormat="1" applyFont="1" applyFill="1" applyBorder="1" applyAlignment="1">
      <alignment horizontal="right" vertical="center" indent="1"/>
    </xf>
    <xf numFmtId="49" fontId="6" fillId="0" borderId="8" xfId="0" applyNumberFormat="1" applyFont="1" applyFill="1" applyBorder="1" applyAlignment="1">
      <alignment horizontal="left" vertical="center" indent="1"/>
    </xf>
    <xf numFmtId="0" fontId="12" fillId="0" borderId="0" xfId="47" applyFont="1" applyAlignment="1">
      <alignment vertical="center"/>
      <protection/>
    </xf>
    <xf numFmtId="0" fontId="12" fillId="0" borderId="10" xfId="47" applyNumberFormat="1" applyFont="1" applyFill="1" applyBorder="1" applyAlignment="1" applyProtection="1">
      <alignment vertical="center"/>
      <protection/>
    </xf>
    <xf numFmtId="49" fontId="12" fillId="0" borderId="0" xfId="47" applyNumberFormat="1" applyFont="1" applyFill="1" applyBorder="1" applyAlignment="1" applyProtection="1">
      <alignment horizontal="left" vertical="center"/>
      <protection/>
    </xf>
    <xf numFmtId="49" fontId="12" fillId="0" borderId="18" xfId="47" applyNumberFormat="1" applyFont="1" applyFill="1" applyBorder="1" applyAlignment="1" applyProtection="1">
      <alignment horizontal="left" vertical="center"/>
      <protection/>
    </xf>
    <xf numFmtId="49" fontId="12" fillId="0" borderId="19" xfId="47" applyNumberFormat="1" applyFont="1" applyFill="1" applyBorder="1" applyAlignment="1" applyProtection="1">
      <alignment horizontal="left" vertical="center"/>
      <protection/>
    </xf>
    <xf numFmtId="49" fontId="13" fillId="0" borderId="20" xfId="47" applyNumberFormat="1" applyFont="1" applyFill="1" applyBorder="1" applyAlignment="1" applyProtection="1">
      <alignment horizontal="center" vertical="center"/>
      <protection/>
    </xf>
    <xf numFmtId="0" fontId="12" fillId="0" borderId="21" xfId="47" applyNumberFormat="1" applyFont="1" applyFill="1" applyBorder="1" applyAlignment="1" applyProtection="1">
      <alignment vertical="center"/>
      <protection/>
    </xf>
    <xf numFmtId="49" fontId="13" fillId="0" borderId="22" xfId="47" applyNumberFormat="1" applyFont="1" applyFill="1" applyBorder="1" applyAlignment="1" applyProtection="1">
      <alignment horizontal="left" vertical="center"/>
      <protection/>
    </xf>
    <xf numFmtId="49" fontId="13" fillId="0" borderId="23" xfId="47" applyNumberFormat="1" applyFont="1" applyFill="1" applyBorder="1" applyAlignment="1" applyProtection="1">
      <alignment horizontal="left" vertical="center"/>
      <protection/>
    </xf>
    <xf numFmtId="49" fontId="13" fillId="0" borderId="23" xfId="47" applyNumberFormat="1" applyFont="1" applyFill="1" applyBorder="1" applyAlignment="1" applyProtection="1">
      <alignment horizontal="center" vertical="center"/>
      <protection/>
    </xf>
    <xf numFmtId="49" fontId="13" fillId="0" borderId="24" xfId="47" applyNumberFormat="1" applyFont="1" applyFill="1" applyBorder="1" applyAlignment="1" applyProtection="1">
      <alignment horizontal="right" vertical="center"/>
      <protection/>
    </xf>
    <xf numFmtId="49" fontId="13" fillId="0" borderId="25" xfId="47" applyNumberFormat="1" applyFont="1" applyFill="1" applyBorder="1" applyAlignment="1" applyProtection="1">
      <alignment horizontal="center" vertical="center"/>
      <protection/>
    </xf>
    <xf numFmtId="49" fontId="13" fillId="0" borderId="26" xfId="47" applyNumberFormat="1" applyFont="1" applyFill="1" applyBorder="1" applyAlignment="1" applyProtection="1">
      <alignment horizontal="center" vertical="center"/>
      <protection/>
    </xf>
    <xf numFmtId="49" fontId="13" fillId="0" borderId="27" xfId="47" applyNumberFormat="1" applyFont="1" applyFill="1" applyBorder="1" applyAlignment="1" applyProtection="1">
      <alignment horizontal="center" vertical="center"/>
      <protection/>
    </xf>
    <xf numFmtId="49" fontId="13" fillId="24" borderId="0" xfId="47" applyNumberFormat="1" applyFont="1" applyFill="1" applyBorder="1" applyAlignment="1" applyProtection="1">
      <alignment horizontal="right" vertical="center"/>
      <protection/>
    </xf>
    <xf numFmtId="49" fontId="12" fillId="24" borderId="28" xfId="47" applyNumberFormat="1" applyFont="1" applyFill="1" applyBorder="1" applyAlignment="1" applyProtection="1">
      <alignment horizontal="left" vertical="center"/>
      <protection/>
    </xf>
    <xf numFmtId="49" fontId="13" fillId="24" borderId="28" xfId="47" applyNumberFormat="1" applyFont="1" applyFill="1" applyBorder="1" applyAlignment="1" applyProtection="1">
      <alignment horizontal="left" vertical="center"/>
      <protection/>
    </xf>
    <xf numFmtId="4" fontId="13" fillId="24" borderId="28" xfId="47" applyNumberFormat="1" applyFont="1" applyFill="1" applyBorder="1" applyAlignment="1" applyProtection="1">
      <alignment horizontal="right" vertical="center"/>
      <protection/>
    </xf>
    <xf numFmtId="49" fontId="13" fillId="24" borderId="28" xfId="47" applyNumberFormat="1" applyFont="1" applyFill="1" applyBorder="1" applyAlignment="1" applyProtection="1">
      <alignment horizontal="right" vertical="center"/>
      <protection/>
    </xf>
    <xf numFmtId="4" fontId="13" fillId="24" borderId="0" xfId="47" applyNumberFormat="1" applyFont="1" applyFill="1" applyBorder="1" applyAlignment="1" applyProtection="1">
      <alignment horizontal="right" vertical="center"/>
      <protection/>
    </xf>
    <xf numFmtId="4" fontId="12" fillId="0" borderId="0" xfId="47" applyNumberFormat="1" applyFont="1" applyFill="1" applyBorder="1" applyAlignment="1" applyProtection="1">
      <alignment horizontal="right" vertical="center"/>
      <protection/>
    </xf>
    <xf numFmtId="49" fontId="12" fillId="0" borderId="0" xfId="47" applyNumberFormat="1" applyFont="1" applyFill="1" applyBorder="1" applyAlignment="1" applyProtection="1">
      <alignment horizontal="right" vertical="center"/>
      <protection/>
    </xf>
    <xf numFmtId="49" fontId="12" fillId="24" borderId="0" xfId="47" applyNumberFormat="1" applyFont="1" applyFill="1" applyBorder="1" applyAlignment="1" applyProtection="1">
      <alignment horizontal="left" vertical="center"/>
      <protection/>
    </xf>
    <xf numFmtId="49" fontId="13" fillId="24" borderId="0" xfId="47" applyNumberFormat="1" applyFont="1" applyFill="1" applyBorder="1" applyAlignment="1" applyProtection="1">
      <alignment horizontal="left" vertical="center"/>
      <protection/>
    </xf>
    <xf numFmtId="49" fontId="12" fillId="0" borderId="29" xfId="47" applyNumberFormat="1" applyFont="1" applyFill="1" applyBorder="1" applyAlignment="1" applyProtection="1">
      <alignment horizontal="left" vertical="center"/>
      <protection/>
    </xf>
    <xf numFmtId="4" fontId="12" fillId="0" borderId="29" xfId="47" applyNumberFormat="1" applyFont="1" applyFill="1" applyBorder="1" applyAlignment="1" applyProtection="1">
      <alignment horizontal="right" vertical="center"/>
      <protection/>
    </xf>
    <xf numFmtId="0" fontId="12" fillId="0" borderId="30" xfId="47" applyNumberFormat="1" applyFont="1" applyFill="1" applyBorder="1" applyAlignment="1" applyProtection="1">
      <alignment vertical="center"/>
      <protection/>
    </xf>
    <xf numFmtId="4" fontId="13" fillId="0" borderId="30" xfId="47" applyNumberFormat="1" applyFont="1" applyFill="1" applyBorder="1" applyAlignment="1" applyProtection="1">
      <alignment horizontal="right" vertical="center"/>
      <protection/>
    </xf>
    <xf numFmtId="4" fontId="13" fillId="0" borderId="0" xfId="47" applyNumberFormat="1" applyFont="1" applyFill="1" applyBorder="1" applyAlignment="1" applyProtection="1">
      <alignment horizontal="right" vertical="center"/>
      <protection/>
    </xf>
    <xf numFmtId="49" fontId="16" fillId="24" borderId="13" xfId="47" applyNumberFormat="1" applyFont="1" applyFill="1" applyBorder="1" applyAlignment="1" applyProtection="1">
      <alignment horizontal="center" vertical="center"/>
      <protection/>
    </xf>
    <xf numFmtId="49" fontId="18" fillId="0" borderId="12" xfId="47" applyNumberFormat="1" applyFont="1" applyFill="1" applyBorder="1" applyAlignment="1" applyProtection="1">
      <alignment horizontal="left" vertical="center"/>
      <protection/>
    </xf>
    <xf numFmtId="49" fontId="19" fillId="0" borderId="13" xfId="47" applyNumberFormat="1" applyFont="1" applyFill="1" applyBorder="1" applyAlignment="1" applyProtection="1">
      <alignment horizontal="left" vertical="center"/>
      <protection/>
    </xf>
    <xf numFmtId="4" fontId="19" fillId="0" borderId="13" xfId="47" applyNumberFormat="1" applyFont="1" applyFill="1" applyBorder="1" applyAlignment="1" applyProtection="1">
      <alignment horizontal="right" vertical="center"/>
      <protection/>
    </xf>
    <xf numFmtId="49" fontId="18" fillId="0" borderId="15" xfId="47" applyNumberFormat="1" applyFont="1" applyFill="1" applyBorder="1" applyAlignment="1" applyProtection="1">
      <alignment horizontal="left" vertical="center"/>
      <protection/>
    </xf>
    <xf numFmtId="49" fontId="19" fillId="0" borderId="13" xfId="47" applyNumberFormat="1" applyFont="1" applyFill="1" applyBorder="1" applyAlignment="1" applyProtection="1">
      <alignment horizontal="right" vertical="center"/>
      <protection/>
    </xf>
    <xf numFmtId="0" fontId="12" fillId="0" borderId="31" xfId="47" applyNumberFormat="1" applyFont="1" applyFill="1" applyBorder="1" applyAlignment="1" applyProtection="1">
      <alignment vertical="center"/>
      <protection/>
    </xf>
    <xf numFmtId="4" fontId="18" fillId="24" borderId="32" xfId="47" applyNumberFormat="1" applyFont="1" applyFill="1" applyBorder="1" applyAlignment="1" applyProtection="1">
      <alignment horizontal="right" vertical="center"/>
      <protection/>
    </xf>
    <xf numFmtId="0" fontId="12" fillId="0" borderId="11" xfId="47" applyNumberFormat="1" applyFont="1" applyFill="1" applyBorder="1" applyAlignment="1" applyProtection="1">
      <alignment vertical="center"/>
      <protection/>
    </xf>
    <xf numFmtId="0" fontId="12" fillId="0" borderId="29" xfId="47" applyNumberFormat="1" applyFont="1" applyFill="1" applyBorder="1" applyAlignment="1" applyProtection="1">
      <alignment vertical="center"/>
      <protection/>
    </xf>
    <xf numFmtId="0" fontId="12" fillId="0" borderId="33" xfId="47" applyNumberFormat="1" applyFont="1" applyFill="1" applyBorder="1" applyAlignment="1" applyProtection="1">
      <alignment vertical="center"/>
      <protection/>
    </xf>
    <xf numFmtId="0" fontId="12" fillId="0" borderId="28" xfId="47" applyNumberFormat="1" applyFont="1" applyFill="1" applyBorder="1" applyAlignment="1" applyProtection="1">
      <alignment vertical="center"/>
      <protection/>
    </xf>
    <xf numFmtId="0" fontId="6" fillId="19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19" borderId="13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14" fontId="7" fillId="0" borderId="29" xfId="0" applyNumberFormat="1" applyFont="1" applyBorder="1" applyAlignment="1">
      <alignment horizontal="left" vertical="center" indent="5"/>
    </xf>
    <xf numFmtId="0" fontId="7" fillId="0" borderId="36" xfId="0" applyFont="1" applyBorder="1" applyAlignment="1">
      <alignment horizontal="left" vertical="center" indent="5"/>
    </xf>
    <xf numFmtId="0" fontId="7" fillId="0" borderId="10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indent="1"/>
    </xf>
    <xf numFmtId="0" fontId="4" fillId="19" borderId="37" xfId="0" applyFont="1" applyFill="1" applyBorder="1" applyAlignment="1">
      <alignment horizontal="center" vertical="center"/>
    </xf>
    <xf numFmtId="0" fontId="4" fillId="19" borderId="31" xfId="0" applyFont="1" applyFill="1" applyBorder="1" applyAlignment="1">
      <alignment horizontal="center" vertical="center"/>
    </xf>
    <xf numFmtId="0" fontId="4" fillId="19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5"/>
    </xf>
    <xf numFmtId="0" fontId="7" fillId="0" borderId="35" xfId="0" applyFont="1" applyBorder="1" applyAlignment="1">
      <alignment horizontal="left" vertical="center" indent="5"/>
    </xf>
    <xf numFmtId="0" fontId="2" fillId="19" borderId="37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38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5" fillId="0" borderId="29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49" fontId="19" fillId="0" borderId="39" xfId="47" applyNumberFormat="1" applyFont="1" applyFill="1" applyBorder="1" applyAlignment="1" applyProtection="1">
      <alignment horizontal="left" vertical="center"/>
      <protection/>
    </xf>
    <xf numFmtId="0" fontId="19" fillId="0" borderId="40" xfId="47" applyNumberFormat="1" applyFont="1" applyFill="1" applyBorder="1" applyAlignment="1" applyProtection="1">
      <alignment horizontal="left" vertical="center"/>
      <protection/>
    </xf>
    <xf numFmtId="0" fontId="19" fillId="0" borderId="41" xfId="47" applyNumberFormat="1" applyFont="1" applyFill="1" applyBorder="1" applyAlignment="1" applyProtection="1">
      <alignment horizontal="left" vertical="center"/>
      <protection/>
    </xf>
    <xf numFmtId="49" fontId="19" fillId="0" borderId="21" xfId="47" applyNumberFormat="1" applyFont="1" applyFill="1" applyBorder="1" applyAlignment="1" applyProtection="1">
      <alignment horizontal="left" vertical="center"/>
      <protection/>
    </xf>
    <xf numFmtId="0" fontId="19" fillId="0" borderId="0" xfId="47" applyNumberFormat="1" applyFont="1" applyFill="1" applyBorder="1" applyAlignment="1" applyProtection="1">
      <alignment horizontal="left" vertical="center"/>
      <protection/>
    </xf>
    <xf numFmtId="0" fontId="19" fillId="0" borderId="42" xfId="47" applyNumberFormat="1" applyFont="1" applyFill="1" applyBorder="1" applyAlignment="1" applyProtection="1">
      <alignment horizontal="left" vertical="center"/>
      <protection/>
    </xf>
    <xf numFmtId="49" fontId="19" fillId="0" borderId="43" xfId="47" applyNumberFormat="1" applyFont="1" applyFill="1" applyBorder="1" applyAlignment="1" applyProtection="1">
      <alignment horizontal="left" vertical="center"/>
      <protection/>
    </xf>
    <xf numFmtId="0" fontId="19" fillId="0" borderId="28" xfId="47" applyNumberFormat="1" applyFont="1" applyFill="1" applyBorder="1" applyAlignment="1" applyProtection="1">
      <alignment horizontal="left" vertical="center"/>
      <protection/>
    </xf>
    <xf numFmtId="0" fontId="19" fillId="0" borderId="44" xfId="47" applyNumberFormat="1" applyFont="1" applyFill="1" applyBorder="1" applyAlignment="1" applyProtection="1">
      <alignment horizontal="left" vertical="center"/>
      <protection/>
    </xf>
    <xf numFmtId="49" fontId="18" fillId="24" borderId="37" xfId="47" applyNumberFormat="1" applyFont="1" applyFill="1" applyBorder="1" applyAlignment="1" applyProtection="1">
      <alignment horizontal="left" vertical="center"/>
      <protection/>
    </xf>
    <xf numFmtId="0" fontId="18" fillId="24" borderId="31" xfId="47" applyNumberFormat="1" applyFont="1" applyFill="1" applyBorder="1" applyAlignment="1" applyProtection="1">
      <alignment horizontal="left" vertical="center"/>
      <protection/>
    </xf>
    <xf numFmtId="49" fontId="18" fillId="0" borderId="37" xfId="47" applyNumberFormat="1" applyFont="1" applyFill="1" applyBorder="1" applyAlignment="1" applyProtection="1">
      <alignment horizontal="left" vertical="center"/>
      <protection/>
    </xf>
    <xf numFmtId="0" fontId="18" fillId="0" borderId="32" xfId="47" applyNumberFormat="1" applyFont="1" applyFill="1" applyBorder="1" applyAlignment="1" applyProtection="1">
      <alignment horizontal="left" vertical="center"/>
      <protection/>
    </xf>
    <xf numFmtId="49" fontId="19" fillId="0" borderId="37" xfId="47" applyNumberFormat="1" applyFont="1" applyFill="1" applyBorder="1" applyAlignment="1" applyProtection="1">
      <alignment horizontal="left" vertical="center"/>
      <protection/>
    </xf>
    <xf numFmtId="0" fontId="19" fillId="0" borderId="32" xfId="47" applyNumberFormat="1" applyFont="1" applyFill="1" applyBorder="1" applyAlignment="1" applyProtection="1">
      <alignment horizontal="left" vertical="center"/>
      <protection/>
    </xf>
    <xf numFmtId="49" fontId="15" fillId="0" borderId="31" xfId="47" applyNumberFormat="1" applyFont="1" applyFill="1" applyBorder="1" applyAlignment="1" applyProtection="1">
      <alignment horizontal="center" vertical="center"/>
      <protection/>
    </xf>
    <xf numFmtId="0" fontId="15" fillId="0" borderId="31" xfId="47" applyNumberFormat="1" applyFont="1" applyFill="1" applyBorder="1" applyAlignment="1" applyProtection="1">
      <alignment horizontal="center" vertical="center"/>
      <protection/>
    </xf>
    <xf numFmtId="49" fontId="17" fillId="0" borderId="37" xfId="47" applyNumberFormat="1" applyFont="1" applyFill="1" applyBorder="1" applyAlignment="1" applyProtection="1">
      <alignment horizontal="left" vertical="center"/>
      <protection/>
    </xf>
    <xf numFmtId="0" fontId="17" fillId="0" borderId="32" xfId="47" applyNumberFormat="1" applyFont="1" applyFill="1" applyBorder="1" applyAlignment="1" applyProtection="1">
      <alignment horizontal="left" vertical="center"/>
      <protection/>
    </xf>
    <xf numFmtId="49" fontId="12" fillId="0" borderId="10" xfId="47" applyNumberFormat="1" applyFont="1" applyFill="1" applyBorder="1" applyAlignment="1" applyProtection="1">
      <alignment horizontal="left" vertical="center"/>
      <protection/>
    </xf>
    <xf numFmtId="0" fontId="12" fillId="0" borderId="0" xfId="47" applyNumberFormat="1" applyFont="1" applyFill="1" applyBorder="1" applyAlignment="1" applyProtection="1">
      <alignment horizontal="left" vertical="center"/>
      <protection/>
    </xf>
    <xf numFmtId="0" fontId="12" fillId="0" borderId="11" xfId="47" applyNumberFormat="1" applyFont="1" applyFill="1" applyBorder="1" applyAlignment="1" applyProtection="1">
      <alignment horizontal="left" vertical="center"/>
      <protection/>
    </xf>
    <xf numFmtId="0" fontId="12" fillId="0" borderId="29" xfId="47" applyNumberFormat="1" applyFont="1" applyFill="1" applyBorder="1" applyAlignment="1" applyProtection="1">
      <alignment horizontal="left" vertical="center"/>
      <protection/>
    </xf>
    <xf numFmtId="49" fontId="12" fillId="0" borderId="0" xfId="47" applyNumberFormat="1" applyFont="1" applyFill="1" applyBorder="1" applyAlignment="1" applyProtection="1">
      <alignment horizontal="left" vertical="center"/>
      <protection/>
    </xf>
    <xf numFmtId="14" fontId="12" fillId="0" borderId="35" xfId="47" applyNumberFormat="1" applyFont="1" applyFill="1" applyBorder="1" applyAlignment="1" applyProtection="1">
      <alignment horizontal="left" vertical="center"/>
      <protection/>
    </xf>
    <xf numFmtId="0" fontId="12" fillId="0" borderId="36" xfId="47" applyNumberFormat="1" applyFont="1" applyFill="1" applyBorder="1" applyAlignment="1" applyProtection="1">
      <alignment horizontal="left" vertical="center"/>
      <protection/>
    </xf>
    <xf numFmtId="0" fontId="12" fillId="0" borderId="10" xfId="47" applyNumberFormat="1" applyFont="1" applyFill="1" applyBorder="1" applyAlignment="1" applyProtection="1">
      <alignment horizontal="left" vertical="center"/>
      <protection/>
    </xf>
    <xf numFmtId="14" fontId="12" fillId="0" borderId="0" xfId="47" applyNumberFormat="1" applyFont="1" applyFill="1" applyBorder="1" applyAlignment="1" applyProtection="1">
      <alignment horizontal="left" vertical="center"/>
      <protection/>
    </xf>
    <xf numFmtId="49" fontId="12" fillId="0" borderId="35" xfId="47" applyNumberFormat="1" applyFont="1" applyFill="1" applyBorder="1" applyAlignment="1" applyProtection="1">
      <alignment horizontal="left" vertical="center"/>
      <protection/>
    </xf>
    <xf numFmtId="0" fontId="12" fillId="0" borderId="35" xfId="47" applyNumberFormat="1" applyFont="1" applyFill="1" applyBorder="1" applyAlignment="1" applyProtection="1">
      <alignment horizontal="left" vertical="center"/>
      <protection/>
    </xf>
    <xf numFmtId="49" fontId="14" fillId="0" borderId="29" xfId="47" applyNumberFormat="1" applyFont="1" applyFill="1" applyBorder="1" applyAlignment="1" applyProtection="1">
      <alignment horizontal="center" vertical="center"/>
      <protection/>
    </xf>
    <xf numFmtId="0" fontId="14" fillId="0" borderId="29" xfId="47" applyNumberFormat="1" applyFont="1" applyFill="1" applyBorder="1" applyAlignment="1" applyProtection="1">
      <alignment horizontal="center" vertical="center"/>
      <protection/>
    </xf>
    <xf numFmtId="49" fontId="12" fillId="0" borderId="38" xfId="47" applyNumberFormat="1" applyFont="1" applyFill="1" applyBorder="1" applyAlignment="1" applyProtection="1">
      <alignment horizontal="left" vertical="center"/>
      <protection/>
    </xf>
    <xf numFmtId="0" fontId="12" fillId="0" borderId="30" xfId="47" applyNumberFormat="1" applyFont="1" applyFill="1" applyBorder="1" applyAlignment="1" applyProtection="1">
      <alignment horizontal="left" vertical="center"/>
      <protection/>
    </xf>
    <xf numFmtId="49" fontId="13" fillId="0" borderId="30" xfId="47" applyNumberFormat="1" applyFont="1" applyFill="1" applyBorder="1" applyAlignment="1" applyProtection="1">
      <alignment horizontal="left" vertical="center"/>
      <protection/>
    </xf>
    <xf numFmtId="0" fontId="13" fillId="0" borderId="30" xfId="47" applyNumberFormat="1" applyFont="1" applyFill="1" applyBorder="1" applyAlignment="1" applyProtection="1">
      <alignment horizontal="left" vertical="center"/>
      <protection/>
    </xf>
    <xf numFmtId="0" fontId="13" fillId="0" borderId="0" xfId="47" applyNumberFormat="1" applyFont="1" applyFill="1" applyBorder="1" applyAlignment="1" applyProtection="1">
      <alignment horizontal="left" vertical="center"/>
      <protection/>
    </xf>
    <xf numFmtId="49" fontId="12" fillId="0" borderId="30" xfId="47" applyNumberFormat="1" applyFont="1" applyFill="1" applyBorder="1" applyAlignment="1" applyProtection="1">
      <alignment horizontal="left" vertical="center"/>
      <protection/>
    </xf>
    <xf numFmtId="49" fontId="12" fillId="0" borderId="34" xfId="47" applyNumberFormat="1" applyFont="1" applyFill="1" applyBorder="1" applyAlignment="1" applyProtection="1">
      <alignment horizontal="left" vertical="center"/>
      <protection/>
    </xf>
    <xf numFmtId="49" fontId="13" fillId="24" borderId="0" xfId="47" applyNumberFormat="1" applyFont="1" applyFill="1" applyBorder="1" applyAlignment="1" applyProtection="1">
      <alignment horizontal="left" vertical="center"/>
      <protection/>
    </xf>
    <xf numFmtId="0" fontId="13" fillId="24" borderId="0" xfId="47" applyNumberFormat="1" applyFont="1" applyFill="1" applyBorder="1" applyAlignment="1" applyProtection="1">
      <alignment horizontal="left" vertical="center"/>
      <protection/>
    </xf>
    <xf numFmtId="49" fontId="13" fillId="0" borderId="45" xfId="47" applyNumberFormat="1" applyFont="1" applyFill="1" applyBorder="1" applyAlignment="1" applyProtection="1">
      <alignment horizontal="center" vertical="center"/>
      <protection/>
    </xf>
    <xf numFmtId="0" fontId="13" fillId="0" borderId="46" xfId="47" applyNumberFormat="1" applyFont="1" applyFill="1" applyBorder="1" applyAlignment="1" applyProtection="1">
      <alignment horizontal="center" vertical="center"/>
      <protection/>
    </xf>
    <xf numFmtId="0" fontId="13" fillId="0" borderId="47" xfId="47" applyNumberFormat="1" applyFont="1" applyFill="1" applyBorder="1" applyAlignment="1" applyProtection="1">
      <alignment horizontal="center" vertical="center"/>
      <protection/>
    </xf>
    <xf numFmtId="49" fontId="13" fillId="24" borderId="28" xfId="47" applyNumberFormat="1" applyFont="1" applyFill="1" applyBorder="1" applyAlignment="1" applyProtection="1">
      <alignment horizontal="left" vertical="center"/>
      <protection/>
    </xf>
    <xf numFmtId="0" fontId="13" fillId="24" borderId="28" xfId="47" applyNumberFormat="1" applyFont="1" applyFill="1" applyBorder="1" applyAlignment="1" applyProtection="1">
      <alignment horizontal="left" vertical="center"/>
      <protection/>
    </xf>
    <xf numFmtId="0" fontId="12" fillId="0" borderId="48" xfId="47" applyNumberFormat="1" applyFont="1" applyFill="1" applyBorder="1" applyAlignment="1" applyProtection="1">
      <alignment horizontal="left" vertical="center"/>
      <protection/>
    </xf>
    <xf numFmtId="0" fontId="12" fillId="0" borderId="40" xfId="47" applyNumberFormat="1" applyFont="1" applyFill="1" applyBorder="1" applyAlignment="1" applyProtection="1">
      <alignment horizontal="left" vertical="center"/>
      <protection/>
    </xf>
    <xf numFmtId="14" fontId="12" fillId="0" borderId="40" xfId="47" applyNumberFormat="1" applyFont="1" applyFill="1" applyBorder="1" applyAlignment="1" applyProtection="1">
      <alignment horizontal="left" vertical="center"/>
      <protection/>
    </xf>
    <xf numFmtId="0" fontId="12" fillId="0" borderId="49" xfId="47" applyNumberFormat="1" applyFont="1" applyFill="1" applyBorder="1" applyAlignment="1" applyProtection="1">
      <alignment horizontal="left" vertical="center"/>
      <protection/>
    </xf>
    <xf numFmtId="49" fontId="11" fillId="0" borderId="29" xfId="47" applyNumberFormat="1" applyFont="1" applyFill="1" applyBorder="1" applyAlignment="1" applyProtection="1">
      <alignment horizontal="center" vertical="center"/>
      <protection/>
    </xf>
    <xf numFmtId="0" fontId="11" fillId="0" borderId="29" xfId="47" applyNumberFormat="1" applyFont="1" applyFill="1" applyBorder="1" applyAlignment="1" applyProtection="1">
      <alignment horizontal="center" vertical="center"/>
      <protection/>
    </xf>
    <xf numFmtId="0" fontId="12" fillId="0" borderId="34" xfId="47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</xdr:row>
      <xdr:rowOff>38100</xdr:rowOff>
    </xdr:from>
    <xdr:to>
      <xdr:col>7</xdr:col>
      <xdr:colOff>923925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638175"/>
          <a:ext cx="533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yc&#237;%20list%20rozpo&#269;tu%20s%20&#250;daji%20o%20cen&#283;%20DPH%2019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01"/>
      <sheetName val="SO04"/>
    </sheetNames>
    <sheetDataSet>
      <sheetData sheetId="1">
        <row r="29"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13.7109375" style="3" customWidth="1"/>
    <col min="2" max="2" width="29.7109375" style="3" customWidth="1"/>
    <col min="3" max="8" width="14.7109375" style="3" customWidth="1"/>
    <col min="9" max="16384" width="9.140625" style="3" customWidth="1"/>
  </cols>
  <sheetData>
    <row r="1" spans="1:8" ht="34.5" customHeight="1">
      <c r="A1" s="84" t="s">
        <v>22</v>
      </c>
      <c r="B1" s="85"/>
      <c r="C1" s="85"/>
      <c r="D1" s="85"/>
      <c r="E1" s="85"/>
      <c r="F1" s="85"/>
      <c r="G1" s="85"/>
      <c r="H1" s="86"/>
    </row>
    <row r="2" spans="1:8" ht="12.75">
      <c r="A2" s="87"/>
      <c r="B2" s="87"/>
      <c r="C2" s="87"/>
      <c r="D2" s="87"/>
      <c r="E2" s="87"/>
      <c r="F2" s="87"/>
      <c r="G2" s="87"/>
      <c r="H2" s="87"/>
    </row>
    <row r="3" spans="1:8" ht="15" customHeight="1">
      <c r="A3" s="88" t="s">
        <v>0</v>
      </c>
      <c r="B3" s="90" t="s">
        <v>30</v>
      </c>
      <c r="C3" s="90"/>
      <c r="D3" s="91"/>
      <c r="E3" s="94"/>
      <c r="F3" s="95"/>
      <c r="G3" s="63"/>
      <c r="H3" s="64"/>
    </row>
    <row r="4" spans="1:8" ht="15" customHeight="1">
      <c r="A4" s="89"/>
      <c r="B4" s="92"/>
      <c r="C4" s="92"/>
      <c r="D4" s="93"/>
      <c r="E4" s="99" t="s">
        <v>27</v>
      </c>
      <c r="F4" s="100"/>
      <c r="G4" s="65"/>
      <c r="H4" s="66"/>
    </row>
    <row r="5" spans="1:8" ht="15" customHeight="1">
      <c r="A5" s="1" t="s">
        <v>12</v>
      </c>
      <c r="B5" s="73" t="s">
        <v>330</v>
      </c>
      <c r="C5" s="73"/>
      <c r="D5" s="74"/>
      <c r="E5" s="77" t="s">
        <v>28</v>
      </c>
      <c r="F5" s="78"/>
      <c r="G5" s="69"/>
      <c r="H5" s="70"/>
    </row>
    <row r="6" spans="1:8" ht="15" customHeight="1">
      <c r="A6" s="1" t="s">
        <v>1</v>
      </c>
      <c r="B6" s="73" t="s">
        <v>32</v>
      </c>
      <c r="C6" s="73"/>
      <c r="D6" s="74"/>
      <c r="E6" s="67" t="s">
        <v>29</v>
      </c>
      <c r="F6" s="67"/>
      <c r="G6" s="82" t="s">
        <v>27</v>
      </c>
      <c r="H6" s="83"/>
    </row>
    <row r="7" spans="1:8" ht="15" customHeight="1">
      <c r="A7" s="2" t="s">
        <v>2</v>
      </c>
      <c r="B7" s="96" t="s">
        <v>31</v>
      </c>
      <c r="C7" s="96"/>
      <c r="D7" s="97"/>
      <c r="E7" s="98" t="s">
        <v>3</v>
      </c>
      <c r="F7" s="98"/>
      <c r="G7" s="75">
        <v>41281</v>
      </c>
      <c r="H7" s="76"/>
    </row>
    <row r="8" spans="1:8" ht="15" customHeight="1">
      <c r="A8" s="69"/>
      <c r="B8" s="69"/>
      <c r="C8" s="69"/>
      <c r="D8" s="69"/>
      <c r="E8" s="69"/>
      <c r="F8" s="69"/>
      <c r="G8" s="69"/>
      <c r="H8" s="69"/>
    </row>
    <row r="9" spans="1:8" ht="15" customHeight="1">
      <c r="A9" s="4" t="s">
        <v>14</v>
      </c>
      <c r="B9" s="5"/>
      <c r="C9" s="6" t="s">
        <v>6</v>
      </c>
      <c r="D9" s="6" t="s">
        <v>7</v>
      </c>
      <c r="E9" s="6" t="s">
        <v>8</v>
      </c>
      <c r="F9" s="61" t="s">
        <v>13</v>
      </c>
      <c r="G9" s="61"/>
      <c r="H9" s="61"/>
    </row>
    <row r="10" spans="1:8" ht="15" customHeight="1">
      <c r="A10" s="7" t="s">
        <v>15</v>
      </c>
      <c r="B10" s="8" t="s">
        <v>5</v>
      </c>
      <c r="C10" s="7" t="s">
        <v>16</v>
      </c>
      <c r="D10" s="7" t="s">
        <v>18</v>
      </c>
      <c r="E10" s="7" t="s">
        <v>19</v>
      </c>
      <c r="F10" s="7" t="s">
        <v>20</v>
      </c>
      <c r="G10" s="7" t="s">
        <v>10</v>
      </c>
      <c r="H10" s="7" t="s">
        <v>20</v>
      </c>
    </row>
    <row r="11" spans="1:8" ht="15" customHeight="1">
      <c r="A11" s="9" t="s">
        <v>4</v>
      </c>
      <c r="B11" s="10"/>
      <c r="C11" s="11" t="s">
        <v>17</v>
      </c>
      <c r="D11" s="11" t="s">
        <v>17</v>
      </c>
      <c r="E11" s="11" t="s">
        <v>24</v>
      </c>
      <c r="F11" s="11" t="s">
        <v>9</v>
      </c>
      <c r="G11" s="12">
        <v>0.21</v>
      </c>
      <c r="H11" s="11" t="s">
        <v>11</v>
      </c>
    </row>
    <row r="12" spans="1:8" ht="15" customHeight="1">
      <c r="A12" s="71"/>
      <c r="B12" s="71"/>
      <c r="C12" s="71"/>
      <c r="D12" s="71"/>
      <c r="E12" s="71"/>
      <c r="F12" s="71"/>
      <c r="G12" s="71"/>
      <c r="H12" s="71"/>
    </row>
    <row r="13" spans="1:8" ht="19.5" customHeight="1">
      <c r="A13" s="79" t="s">
        <v>23</v>
      </c>
      <c r="B13" s="80"/>
      <c r="C13" s="80"/>
      <c r="D13" s="80"/>
      <c r="E13" s="80"/>
      <c r="F13" s="80"/>
      <c r="G13" s="80"/>
      <c r="H13" s="81"/>
    </row>
    <row r="14" spans="1:8" ht="15" customHeight="1">
      <c r="A14" s="68"/>
      <c r="B14" s="68"/>
      <c r="C14" s="68"/>
      <c r="D14" s="68"/>
      <c r="E14" s="68"/>
      <c r="F14" s="68"/>
      <c r="G14" s="68"/>
      <c r="H14" s="68"/>
    </row>
    <row r="15" spans="1:8" ht="15" customHeight="1">
      <c r="A15" s="19" t="s">
        <v>25</v>
      </c>
      <c r="B15" s="17" t="s">
        <v>33</v>
      </c>
      <c r="C15" s="16">
        <f>'01-Krycí list RZP'!I25</f>
        <v>0</v>
      </c>
      <c r="D15" s="18">
        <f>'[1]SO01'!D29</f>
        <v>0</v>
      </c>
      <c r="E15" s="16">
        <v>0</v>
      </c>
      <c r="F15" s="16">
        <f>SUM(C15:E15)</f>
        <v>0</v>
      </c>
      <c r="G15" s="16">
        <f>F15*21%</f>
        <v>0</v>
      </c>
      <c r="H15" s="16">
        <f>SUM(F15:G15)</f>
        <v>0</v>
      </c>
    </row>
    <row r="16" spans="1:8" ht="15" customHeight="1">
      <c r="A16" s="19" t="s">
        <v>26</v>
      </c>
      <c r="B16" s="15" t="s">
        <v>34</v>
      </c>
      <c r="C16" s="16">
        <f>'02-Krycí list RZP'!I25</f>
        <v>0</v>
      </c>
      <c r="D16" s="16">
        <v>0</v>
      </c>
      <c r="E16" s="16">
        <v>0</v>
      </c>
      <c r="F16" s="16">
        <f>SUM(C16:E16)</f>
        <v>0</v>
      </c>
      <c r="G16" s="16">
        <f>F16*21%</f>
        <v>0</v>
      </c>
      <c r="H16" s="16">
        <f>SUM(F16:G16)</f>
        <v>0</v>
      </c>
    </row>
    <row r="17" spans="1:8" ht="15" customHeight="1">
      <c r="A17" s="62"/>
      <c r="B17" s="62"/>
      <c r="C17" s="62"/>
      <c r="D17" s="62"/>
      <c r="E17" s="62"/>
      <c r="F17" s="62"/>
      <c r="G17" s="62"/>
      <c r="H17" s="62"/>
    </row>
    <row r="18" spans="1:8" ht="30" customHeight="1">
      <c r="A18" s="72" t="s">
        <v>21</v>
      </c>
      <c r="B18" s="72"/>
      <c r="C18" s="13">
        <f aca="true" t="shared" si="0" ref="C18:H18">SUM(C15:C16)</f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</row>
    <row r="19" spans="1:2" ht="15" customHeight="1">
      <c r="A19" s="14"/>
      <c r="B19" s="14"/>
    </row>
    <row r="20" spans="1:2" ht="15" customHeight="1">
      <c r="A20" s="14"/>
      <c r="B20" s="14"/>
    </row>
    <row r="21" spans="1:2" ht="12" customHeight="1">
      <c r="A21" s="14"/>
      <c r="B21" s="14"/>
    </row>
    <row r="22" spans="1:2" ht="19.5" customHeight="1">
      <c r="A22" s="14"/>
      <c r="B22" s="1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2" customHeight="1"/>
    <row r="31" ht="19.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2" customHeight="1"/>
    <row r="40" ht="24.75" customHeight="1"/>
    <row r="41" ht="15" customHeight="1"/>
    <row r="42" ht="15" customHeight="1"/>
    <row r="43" ht="15" customHeight="1"/>
    <row r="44" ht="15" customHeight="1"/>
    <row r="45" ht="12.75" customHeight="1"/>
  </sheetData>
  <sheetProtection/>
  <mergeCells count="23">
    <mergeCell ref="A1:H1"/>
    <mergeCell ref="A2:H2"/>
    <mergeCell ref="A8:H8"/>
    <mergeCell ref="A3:A4"/>
    <mergeCell ref="B3:D4"/>
    <mergeCell ref="B6:D6"/>
    <mergeCell ref="E3:F3"/>
    <mergeCell ref="B7:D7"/>
    <mergeCell ref="E7:F7"/>
    <mergeCell ref="E4:F4"/>
    <mergeCell ref="A17:H17"/>
    <mergeCell ref="A18:B18"/>
    <mergeCell ref="B5:D5"/>
    <mergeCell ref="G7:H7"/>
    <mergeCell ref="E5:F5"/>
    <mergeCell ref="A13:H13"/>
    <mergeCell ref="G6:H6"/>
    <mergeCell ref="G3:H4"/>
    <mergeCell ref="E6:F6"/>
    <mergeCell ref="A14:H14"/>
    <mergeCell ref="G5:H5"/>
    <mergeCell ref="A12:H12"/>
    <mergeCell ref="F9:H9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4" sqref="C4:D5"/>
    </sheetView>
  </sheetViews>
  <sheetFormatPr defaultColWidth="11.421875" defaultRowHeight="12.75"/>
  <cols>
    <col min="1" max="1" width="9.140625" style="20" customWidth="1"/>
    <col min="2" max="2" width="11.8515625" style="20" customWidth="1"/>
    <col min="3" max="3" width="21.7109375" style="20" customWidth="1"/>
    <col min="4" max="4" width="8.8515625" style="20" customWidth="1"/>
    <col min="5" max="5" width="14.00390625" style="20" customWidth="1"/>
    <col min="6" max="6" width="22.57421875" style="20" customWidth="1"/>
    <col min="7" max="7" width="9.140625" style="20" customWidth="1"/>
    <col min="8" max="8" width="11.8515625" style="20" customWidth="1"/>
    <col min="9" max="9" width="22.421875" style="20" customWidth="1"/>
    <col min="10" max="16384" width="11.421875" style="20" customWidth="1"/>
  </cols>
  <sheetData>
    <row r="1" spans="1:9" ht="28.5" customHeight="1">
      <c r="A1" s="131" t="s">
        <v>249</v>
      </c>
      <c r="B1" s="132"/>
      <c r="C1" s="132"/>
      <c r="D1" s="132"/>
      <c r="E1" s="132"/>
      <c r="F1" s="132"/>
      <c r="G1" s="132"/>
      <c r="H1" s="132"/>
      <c r="I1" s="132"/>
    </row>
    <row r="2" spans="1:10" ht="12.75">
      <c r="A2" s="133" t="s">
        <v>0</v>
      </c>
      <c r="B2" s="134"/>
      <c r="C2" s="135" t="s">
        <v>36</v>
      </c>
      <c r="D2" s="136"/>
      <c r="E2" s="138" t="s">
        <v>38</v>
      </c>
      <c r="F2" s="138"/>
      <c r="G2" s="134"/>
      <c r="H2" s="138" t="s">
        <v>250</v>
      </c>
      <c r="I2" s="139"/>
      <c r="J2" s="21"/>
    </row>
    <row r="3" spans="1:10" ht="12.75">
      <c r="A3" s="127"/>
      <c r="B3" s="121"/>
      <c r="C3" s="137"/>
      <c r="D3" s="137"/>
      <c r="E3" s="121"/>
      <c r="F3" s="121"/>
      <c r="G3" s="121"/>
      <c r="H3" s="121"/>
      <c r="I3" s="130"/>
      <c r="J3" s="21"/>
    </row>
    <row r="4" spans="1:10" ht="12.75">
      <c r="A4" s="120" t="s">
        <v>12</v>
      </c>
      <c r="B4" s="121"/>
      <c r="C4" s="124" t="s">
        <v>331</v>
      </c>
      <c r="D4" s="121"/>
      <c r="E4" s="124" t="s">
        <v>40</v>
      </c>
      <c r="F4" s="124"/>
      <c r="G4" s="121"/>
      <c r="H4" s="124" t="s">
        <v>250</v>
      </c>
      <c r="I4" s="129"/>
      <c r="J4" s="21"/>
    </row>
    <row r="5" spans="1:10" ht="12.75">
      <c r="A5" s="127"/>
      <c r="B5" s="121"/>
      <c r="C5" s="121"/>
      <c r="D5" s="121"/>
      <c r="E5" s="121"/>
      <c r="F5" s="121"/>
      <c r="G5" s="121"/>
      <c r="H5" s="121"/>
      <c r="I5" s="130"/>
      <c r="J5" s="21"/>
    </row>
    <row r="6" spans="1:10" ht="12.75">
      <c r="A6" s="120" t="s">
        <v>41</v>
      </c>
      <c r="B6" s="121"/>
      <c r="C6" s="124" t="s">
        <v>42</v>
      </c>
      <c r="D6" s="121"/>
      <c r="E6" s="124" t="s">
        <v>44</v>
      </c>
      <c r="F6" s="124"/>
      <c r="G6" s="121"/>
      <c r="H6" s="124" t="s">
        <v>250</v>
      </c>
      <c r="I6" s="129"/>
      <c r="J6" s="21"/>
    </row>
    <row r="7" spans="1:10" ht="12.75">
      <c r="A7" s="127"/>
      <c r="B7" s="121"/>
      <c r="C7" s="121"/>
      <c r="D7" s="121"/>
      <c r="E7" s="121"/>
      <c r="F7" s="121"/>
      <c r="G7" s="121"/>
      <c r="H7" s="121"/>
      <c r="I7" s="130"/>
      <c r="J7" s="21"/>
    </row>
    <row r="8" spans="1:10" ht="12.75">
      <c r="A8" s="120" t="s">
        <v>39</v>
      </c>
      <c r="B8" s="121"/>
      <c r="C8" s="128"/>
      <c r="D8" s="121"/>
      <c r="E8" s="124" t="s">
        <v>43</v>
      </c>
      <c r="F8" s="121"/>
      <c r="G8" s="121"/>
      <c r="H8" s="124" t="s">
        <v>251</v>
      </c>
      <c r="I8" s="129" t="s">
        <v>287</v>
      </c>
      <c r="J8" s="21"/>
    </row>
    <row r="9" spans="1:10" ht="12.75">
      <c r="A9" s="127"/>
      <c r="B9" s="121"/>
      <c r="C9" s="121"/>
      <c r="D9" s="121"/>
      <c r="E9" s="121"/>
      <c r="F9" s="121"/>
      <c r="G9" s="121"/>
      <c r="H9" s="121"/>
      <c r="I9" s="130"/>
      <c r="J9" s="21"/>
    </row>
    <row r="10" spans="1:10" ht="12.75">
      <c r="A10" s="120" t="s">
        <v>45</v>
      </c>
      <c r="B10" s="121"/>
      <c r="C10" s="124"/>
      <c r="D10" s="121"/>
      <c r="E10" s="124" t="s">
        <v>47</v>
      </c>
      <c r="F10" s="124" t="s">
        <v>27</v>
      </c>
      <c r="G10" s="121"/>
      <c r="H10" s="124" t="s">
        <v>252</v>
      </c>
      <c r="I10" s="125">
        <v>41281</v>
      </c>
      <c r="J10" s="21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6"/>
      <c r="J11" s="21"/>
    </row>
    <row r="12" spans="1:9" ht="23.25" customHeight="1">
      <c r="A12" s="116" t="s">
        <v>253</v>
      </c>
      <c r="B12" s="117"/>
      <c r="C12" s="117"/>
      <c r="D12" s="117"/>
      <c r="E12" s="117"/>
      <c r="F12" s="117"/>
      <c r="G12" s="117"/>
      <c r="H12" s="117"/>
      <c r="I12" s="117"/>
    </row>
    <row r="13" spans="1:10" ht="26.25" customHeight="1">
      <c r="A13" s="49" t="s">
        <v>254</v>
      </c>
      <c r="B13" s="118" t="s">
        <v>255</v>
      </c>
      <c r="C13" s="119"/>
      <c r="D13" s="49" t="s">
        <v>256</v>
      </c>
      <c r="E13" s="118" t="s">
        <v>257</v>
      </c>
      <c r="F13" s="119"/>
      <c r="G13" s="49" t="s">
        <v>258</v>
      </c>
      <c r="H13" s="118" t="s">
        <v>259</v>
      </c>
      <c r="I13" s="119"/>
      <c r="J13" s="21"/>
    </row>
    <row r="14" spans="1:10" ht="15" customHeight="1">
      <c r="A14" s="50" t="s">
        <v>260</v>
      </c>
      <c r="B14" s="51" t="s">
        <v>261</v>
      </c>
      <c r="C14" s="52">
        <f>SUM('01-RZP'!R12:R87)</f>
        <v>0</v>
      </c>
      <c r="D14" s="114" t="s">
        <v>262</v>
      </c>
      <c r="E14" s="115"/>
      <c r="F14" s="52">
        <v>0</v>
      </c>
      <c r="G14" s="114" t="s">
        <v>263</v>
      </c>
      <c r="H14" s="115"/>
      <c r="I14" s="52">
        <f>ROUND(C22*(2.3/100),2)</f>
        <v>0</v>
      </c>
      <c r="J14" s="21"/>
    </row>
    <row r="15" spans="1:10" ht="15" customHeight="1">
      <c r="A15" s="53"/>
      <c r="B15" s="51" t="s">
        <v>60</v>
      </c>
      <c r="C15" s="52">
        <f>SUM('01-RZP'!S12:S87)</f>
        <v>0</v>
      </c>
      <c r="D15" s="114" t="s">
        <v>264</v>
      </c>
      <c r="E15" s="115"/>
      <c r="F15" s="52">
        <v>0</v>
      </c>
      <c r="G15" s="114" t="s">
        <v>265</v>
      </c>
      <c r="H15" s="115"/>
      <c r="I15" s="52">
        <v>0</v>
      </c>
      <c r="J15" s="21"/>
    </row>
    <row r="16" spans="1:10" ht="15" customHeight="1">
      <c r="A16" s="50" t="s">
        <v>266</v>
      </c>
      <c r="B16" s="51" t="s">
        <v>261</v>
      </c>
      <c r="C16" s="52">
        <f>SUM('01-RZP'!T12:T87)</f>
        <v>0</v>
      </c>
      <c r="D16" s="114" t="s">
        <v>267</v>
      </c>
      <c r="E16" s="115"/>
      <c r="F16" s="52">
        <v>0</v>
      </c>
      <c r="G16" s="114" t="s">
        <v>268</v>
      </c>
      <c r="H16" s="115"/>
      <c r="I16" s="52">
        <v>0</v>
      </c>
      <c r="J16" s="21"/>
    </row>
    <row r="17" spans="1:10" ht="15" customHeight="1">
      <c r="A17" s="53"/>
      <c r="B17" s="51" t="s">
        <v>60</v>
      </c>
      <c r="C17" s="52">
        <f>SUM('01-RZP'!U12:U87)</f>
        <v>0</v>
      </c>
      <c r="D17" s="114"/>
      <c r="E17" s="115"/>
      <c r="F17" s="54"/>
      <c r="G17" s="114" t="s">
        <v>269</v>
      </c>
      <c r="H17" s="115"/>
      <c r="I17" s="52">
        <v>0</v>
      </c>
      <c r="J17" s="21"/>
    </row>
    <row r="18" spans="1:10" ht="15" customHeight="1">
      <c r="A18" s="50" t="s">
        <v>270</v>
      </c>
      <c r="B18" s="51" t="s">
        <v>261</v>
      </c>
      <c r="C18" s="52">
        <f>SUM('01-RZP'!V12:V87)</f>
        <v>0</v>
      </c>
      <c r="D18" s="114"/>
      <c r="E18" s="115"/>
      <c r="F18" s="54"/>
      <c r="G18" s="114" t="s">
        <v>271</v>
      </c>
      <c r="H18" s="115"/>
      <c r="I18" s="52">
        <v>0</v>
      </c>
      <c r="J18" s="21"/>
    </row>
    <row r="19" spans="1:10" ht="15" customHeight="1">
      <c r="A19" s="53"/>
      <c r="B19" s="51" t="s">
        <v>60</v>
      </c>
      <c r="C19" s="52">
        <f>SUM('01-RZP'!W12:W87)</f>
        <v>0</v>
      </c>
      <c r="D19" s="114"/>
      <c r="E19" s="115"/>
      <c r="F19" s="54"/>
      <c r="G19" s="114" t="s">
        <v>272</v>
      </c>
      <c r="H19" s="115"/>
      <c r="I19" s="52">
        <v>0</v>
      </c>
      <c r="J19" s="21"/>
    </row>
    <row r="20" spans="1:10" ht="15" customHeight="1">
      <c r="A20" s="112" t="s">
        <v>273</v>
      </c>
      <c r="B20" s="113"/>
      <c r="C20" s="52">
        <f>SUM('01-RZP'!X12:X87)</f>
        <v>0</v>
      </c>
      <c r="D20" s="114"/>
      <c r="E20" s="115"/>
      <c r="F20" s="54"/>
      <c r="G20" s="114"/>
      <c r="H20" s="115"/>
      <c r="I20" s="54"/>
      <c r="J20" s="21"/>
    </row>
    <row r="21" spans="1:10" ht="15" customHeight="1">
      <c r="A21" s="112" t="s">
        <v>274</v>
      </c>
      <c r="B21" s="113"/>
      <c r="C21" s="52">
        <f>SUM('01-RZP'!P12:P87)</f>
        <v>0</v>
      </c>
      <c r="D21" s="114"/>
      <c r="E21" s="115"/>
      <c r="F21" s="54"/>
      <c r="G21" s="114"/>
      <c r="H21" s="115"/>
      <c r="I21" s="54"/>
      <c r="J21" s="21"/>
    </row>
    <row r="22" spans="1:10" ht="16.5" customHeight="1">
      <c r="A22" s="112" t="s">
        <v>275</v>
      </c>
      <c r="B22" s="113"/>
      <c r="C22" s="52">
        <f>SUM(C14:C21)</f>
        <v>0</v>
      </c>
      <c r="D22" s="112" t="s">
        <v>276</v>
      </c>
      <c r="E22" s="113"/>
      <c r="F22" s="52">
        <f>SUM(F14:F21)</f>
        <v>0</v>
      </c>
      <c r="G22" s="112" t="s">
        <v>277</v>
      </c>
      <c r="H22" s="113"/>
      <c r="I22" s="52">
        <f>SUM(I14:I21)</f>
        <v>0</v>
      </c>
      <c r="J22" s="21"/>
    </row>
    <row r="23" spans="1:9" ht="12.75">
      <c r="A23" s="55"/>
      <c r="B23" s="55"/>
      <c r="C23" s="55"/>
      <c r="D23" s="46"/>
      <c r="E23" s="46"/>
      <c r="F23" s="46"/>
      <c r="G23" s="46"/>
      <c r="H23" s="46"/>
      <c r="I23" s="46"/>
    </row>
    <row r="24" spans="1:9" ht="15" customHeight="1">
      <c r="A24" s="110" t="s">
        <v>278</v>
      </c>
      <c r="B24" s="111"/>
      <c r="C24" s="56">
        <f>SUM('01-RZP'!Z12:Z87)</f>
        <v>0</v>
      </c>
      <c r="D24" s="57"/>
      <c r="E24" s="58"/>
      <c r="F24" s="58"/>
      <c r="G24" s="58"/>
      <c r="H24" s="58"/>
      <c r="I24" s="58"/>
    </row>
    <row r="25" spans="1:10" ht="15" customHeight="1">
      <c r="A25" s="110" t="s">
        <v>279</v>
      </c>
      <c r="B25" s="111"/>
      <c r="C25" s="56">
        <f>SUM('01-RZP'!AA12:AA87)</f>
        <v>0</v>
      </c>
      <c r="D25" s="110" t="s">
        <v>329</v>
      </c>
      <c r="E25" s="111"/>
      <c r="F25" s="56">
        <f>ROUND(C25*(10/100),2)</f>
        <v>0</v>
      </c>
      <c r="G25" s="110" t="s">
        <v>280</v>
      </c>
      <c r="H25" s="111"/>
      <c r="I25" s="56">
        <f>SUM(C24:C26)</f>
        <v>0</v>
      </c>
      <c r="J25" s="21"/>
    </row>
    <row r="26" spans="1:10" ht="15" customHeight="1">
      <c r="A26" s="110" t="s">
        <v>281</v>
      </c>
      <c r="B26" s="111"/>
      <c r="C26" s="56">
        <f>SUM('01-RZP'!AB12:AB87)+(F22+I22)</f>
        <v>0</v>
      </c>
      <c r="D26" s="110" t="s">
        <v>328</v>
      </c>
      <c r="E26" s="111"/>
      <c r="F26" s="56">
        <f>ROUND(C26*(21/100),2)</f>
        <v>0</v>
      </c>
      <c r="G26" s="110" t="s">
        <v>282</v>
      </c>
      <c r="H26" s="111"/>
      <c r="I26" s="56">
        <f>SUM(F25:F26)+I25</f>
        <v>0</v>
      </c>
      <c r="J26" s="21"/>
    </row>
    <row r="27" spans="1:9" ht="13.5" thickBot="1">
      <c r="A27" s="59"/>
      <c r="B27" s="59"/>
      <c r="C27" s="59"/>
      <c r="D27" s="59"/>
      <c r="E27" s="59"/>
      <c r="F27" s="59"/>
      <c r="G27" s="59"/>
      <c r="H27" s="59"/>
      <c r="I27" s="59"/>
    </row>
    <row r="28" spans="1:10" ht="14.25" customHeight="1">
      <c r="A28" s="107" t="s">
        <v>283</v>
      </c>
      <c r="B28" s="108"/>
      <c r="C28" s="109"/>
      <c r="D28" s="107" t="s">
        <v>284</v>
      </c>
      <c r="E28" s="108"/>
      <c r="F28" s="109"/>
      <c r="G28" s="107" t="s">
        <v>285</v>
      </c>
      <c r="H28" s="108"/>
      <c r="I28" s="109"/>
      <c r="J28" s="26"/>
    </row>
    <row r="29" spans="1:10" ht="14.25" customHeight="1">
      <c r="A29" s="104"/>
      <c r="B29" s="105"/>
      <c r="C29" s="106"/>
      <c r="D29" s="104"/>
      <c r="E29" s="105"/>
      <c r="F29" s="106"/>
      <c r="G29" s="104"/>
      <c r="H29" s="105"/>
      <c r="I29" s="106"/>
      <c r="J29" s="26"/>
    </row>
    <row r="30" spans="1:10" ht="14.25" customHeight="1">
      <c r="A30" s="104"/>
      <c r="B30" s="105"/>
      <c r="C30" s="106"/>
      <c r="D30" s="104"/>
      <c r="E30" s="105"/>
      <c r="F30" s="106"/>
      <c r="G30" s="104"/>
      <c r="H30" s="105"/>
      <c r="I30" s="106"/>
      <c r="J30" s="26"/>
    </row>
    <row r="31" spans="1:10" ht="14.25" customHeight="1">
      <c r="A31" s="104"/>
      <c r="B31" s="105"/>
      <c r="C31" s="106"/>
      <c r="D31" s="104"/>
      <c r="E31" s="105"/>
      <c r="F31" s="106"/>
      <c r="G31" s="104"/>
      <c r="H31" s="105"/>
      <c r="I31" s="106"/>
      <c r="J31" s="26"/>
    </row>
    <row r="32" spans="1:10" ht="14.25" customHeight="1" thickBot="1">
      <c r="A32" s="101" t="s">
        <v>286</v>
      </c>
      <c r="B32" s="102"/>
      <c r="C32" s="103"/>
      <c r="D32" s="101" t="s">
        <v>286</v>
      </c>
      <c r="E32" s="102"/>
      <c r="F32" s="103"/>
      <c r="G32" s="101" t="s">
        <v>286</v>
      </c>
      <c r="H32" s="102"/>
      <c r="I32" s="103"/>
      <c r="J32" s="26"/>
    </row>
    <row r="33" spans="1:9" ht="12.75">
      <c r="A33" s="60"/>
      <c r="B33" s="60"/>
      <c r="C33" s="60"/>
      <c r="D33" s="60"/>
      <c r="E33" s="60"/>
      <c r="F33" s="60"/>
      <c r="G33" s="60"/>
      <c r="H33" s="60"/>
      <c r="I33" s="60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8"/>
  <sheetViews>
    <sheetView zoomScalePageLayoutView="0" workbookViewId="0" topLeftCell="A1">
      <selection activeCell="D4" sqref="D4:D5"/>
    </sheetView>
  </sheetViews>
  <sheetFormatPr defaultColWidth="11.421875" defaultRowHeight="12.75"/>
  <cols>
    <col min="1" max="2" width="3.7109375" style="20" customWidth="1"/>
    <col min="3" max="3" width="13.28125" style="20" customWidth="1"/>
    <col min="4" max="4" width="34.140625" style="20" customWidth="1"/>
    <col min="5" max="5" width="4.28125" style="20" customWidth="1"/>
    <col min="6" max="6" width="10.8515625" style="20" customWidth="1"/>
    <col min="7" max="7" width="12.00390625" style="20" customWidth="1"/>
    <col min="8" max="9" width="13.140625" style="20" customWidth="1"/>
    <col min="10" max="10" width="13.28125" style="20" customWidth="1"/>
    <col min="11" max="12" width="11.7109375" style="20" customWidth="1"/>
    <col min="13" max="13" width="11.421875" style="20" customWidth="1"/>
    <col min="14" max="37" width="12.140625" style="20" hidden="1" customWidth="1"/>
    <col min="38" max="16384" width="11.421875" style="20" customWidth="1"/>
  </cols>
  <sheetData>
    <row r="1" spans="1:12" ht="21.75" customHeight="1">
      <c r="A1" s="151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ht="12.75">
      <c r="A2" s="133" t="s">
        <v>0</v>
      </c>
      <c r="B2" s="134"/>
      <c r="C2" s="134"/>
      <c r="D2" s="135" t="s">
        <v>36</v>
      </c>
      <c r="E2" s="138" t="s">
        <v>37</v>
      </c>
      <c r="F2" s="134"/>
      <c r="G2" s="138"/>
      <c r="H2" s="134"/>
      <c r="I2" s="138" t="s">
        <v>38</v>
      </c>
      <c r="J2" s="138"/>
      <c r="K2" s="134"/>
      <c r="L2" s="153"/>
      <c r="M2" s="21"/>
    </row>
    <row r="3" spans="1:13" ht="12.75">
      <c r="A3" s="127"/>
      <c r="B3" s="121"/>
      <c r="C3" s="121"/>
      <c r="D3" s="137"/>
      <c r="E3" s="121"/>
      <c r="F3" s="121"/>
      <c r="G3" s="121"/>
      <c r="H3" s="121"/>
      <c r="I3" s="121"/>
      <c r="J3" s="121"/>
      <c r="K3" s="121"/>
      <c r="L3" s="130"/>
      <c r="M3" s="21"/>
    </row>
    <row r="4" spans="1:13" ht="12.75">
      <c r="A4" s="120" t="s">
        <v>12</v>
      </c>
      <c r="B4" s="121"/>
      <c r="C4" s="121"/>
      <c r="D4" s="124" t="s">
        <v>331</v>
      </c>
      <c r="E4" s="124" t="s">
        <v>39</v>
      </c>
      <c r="F4" s="121"/>
      <c r="G4" s="128"/>
      <c r="H4" s="121"/>
      <c r="I4" s="124" t="s">
        <v>40</v>
      </c>
      <c r="J4" s="124"/>
      <c r="K4" s="121"/>
      <c r="L4" s="130"/>
      <c r="M4" s="21"/>
    </row>
    <row r="5" spans="1:13" ht="12.75">
      <c r="A5" s="127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30"/>
      <c r="M5" s="21"/>
    </row>
    <row r="6" spans="1:13" ht="12.75">
      <c r="A6" s="120" t="s">
        <v>41</v>
      </c>
      <c r="B6" s="121"/>
      <c r="C6" s="121"/>
      <c r="D6" s="124" t="s">
        <v>42</v>
      </c>
      <c r="E6" s="124" t="s">
        <v>43</v>
      </c>
      <c r="F6" s="121"/>
      <c r="G6" s="121"/>
      <c r="H6" s="121"/>
      <c r="I6" s="124" t="s">
        <v>44</v>
      </c>
      <c r="J6" s="124"/>
      <c r="K6" s="121"/>
      <c r="L6" s="130"/>
      <c r="M6" s="21"/>
    </row>
    <row r="7" spans="1:13" ht="12.75">
      <c r="A7" s="127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30"/>
      <c r="M7" s="21"/>
    </row>
    <row r="8" spans="1:13" ht="12.75">
      <c r="A8" s="120" t="s">
        <v>45</v>
      </c>
      <c r="B8" s="121"/>
      <c r="C8" s="121"/>
      <c r="D8" s="124"/>
      <c r="E8" s="124" t="s">
        <v>46</v>
      </c>
      <c r="F8" s="121"/>
      <c r="G8" s="128">
        <v>41281</v>
      </c>
      <c r="H8" s="128"/>
      <c r="I8" s="124" t="s">
        <v>47</v>
      </c>
      <c r="J8" s="124" t="s">
        <v>27</v>
      </c>
      <c r="K8" s="121"/>
      <c r="L8" s="130"/>
      <c r="M8" s="21"/>
    </row>
    <row r="9" spans="1:13" ht="13.5" thickBot="1">
      <c r="A9" s="147"/>
      <c r="B9" s="148"/>
      <c r="C9" s="148"/>
      <c r="D9" s="148"/>
      <c r="E9" s="148"/>
      <c r="F9" s="148"/>
      <c r="G9" s="149"/>
      <c r="H9" s="149"/>
      <c r="I9" s="148"/>
      <c r="J9" s="148"/>
      <c r="K9" s="148"/>
      <c r="L9" s="150"/>
      <c r="M9" s="21"/>
    </row>
    <row r="10" spans="1:13" ht="12.75">
      <c r="A10" s="23" t="s">
        <v>48</v>
      </c>
      <c r="B10" s="24" t="s">
        <v>48</v>
      </c>
      <c r="C10" s="24" t="s">
        <v>48</v>
      </c>
      <c r="D10" s="24" t="s">
        <v>48</v>
      </c>
      <c r="E10" s="24" t="s">
        <v>48</v>
      </c>
      <c r="F10" s="24" t="s">
        <v>48</v>
      </c>
      <c r="G10" s="25" t="s">
        <v>49</v>
      </c>
      <c r="H10" s="142" t="s">
        <v>50</v>
      </c>
      <c r="I10" s="143"/>
      <c r="J10" s="144"/>
      <c r="K10" s="142" t="s">
        <v>51</v>
      </c>
      <c r="L10" s="144"/>
      <c r="M10" s="26"/>
    </row>
    <row r="11" spans="1:24" ht="13.5" thickBot="1">
      <c r="A11" s="27" t="s">
        <v>52</v>
      </c>
      <c r="B11" s="28" t="s">
        <v>53</v>
      </c>
      <c r="C11" s="28" t="s">
        <v>54</v>
      </c>
      <c r="D11" s="28" t="s">
        <v>55</v>
      </c>
      <c r="E11" s="28" t="s">
        <v>56</v>
      </c>
      <c r="F11" s="29" t="s">
        <v>57</v>
      </c>
      <c r="G11" s="30" t="s">
        <v>58</v>
      </c>
      <c r="H11" s="31" t="s">
        <v>59</v>
      </c>
      <c r="I11" s="32" t="s">
        <v>60</v>
      </c>
      <c r="J11" s="33" t="s">
        <v>61</v>
      </c>
      <c r="K11" s="31" t="s">
        <v>49</v>
      </c>
      <c r="L11" s="33" t="s">
        <v>61</v>
      </c>
      <c r="M11" s="26"/>
      <c r="P11" s="34" t="s">
        <v>62</v>
      </c>
      <c r="Q11" s="34" t="s">
        <v>63</v>
      </c>
      <c r="R11" s="34" t="s">
        <v>64</v>
      </c>
      <c r="S11" s="34" t="s">
        <v>65</v>
      </c>
      <c r="T11" s="34" t="s">
        <v>66</v>
      </c>
      <c r="U11" s="34" t="s">
        <v>67</v>
      </c>
      <c r="V11" s="34" t="s">
        <v>68</v>
      </c>
      <c r="W11" s="34" t="s">
        <v>69</v>
      </c>
      <c r="X11" s="34" t="s">
        <v>70</v>
      </c>
    </row>
    <row r="12" spans="1:37" ht="12.75">
      <c r="A12" s="35"/>
      <c r="B12" s="35"/>
      <c r="C12" s="36" t="s">
        <v>71</v>
      </c>
      <c r="D12" s="145" t="s">
        <v>72</v>
      </c>
      <c r="E12" s="146"/>
      <c r="F12" s="146"/>
      <c r="G12" s="146"/>
      <c r="H12" s="37">
        <f>SUM(H13:H14)</f>
        <v>0</v>
      </c>
      <c r="I12" s="37">
        <f>SUM(I13:I14)</f>
        <v>0</v>
      </c>
      <c r="J12" s="37">
        <f>H12+I12</f>
        <v>0</v>
      </c>
      <c r="K12" s="38"/>
      <c r="L12" s="37">
        <f>SUM(L13:L14)</f>
        <v>0</v>
      </c>
      <c r="P12" s="39">
        <f>IF(Q12="PR",J12,SUM(O13:O14))</f>
        <v>0</v>
      </c>
      <c r="Q12" s="34" t="s">
        <v>73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34"/>
      <c r="AI12" s="39">
        <f>SUM(Z13:Z14)</f>
        <v>0</v>
      </c>
      <c r="AJ12" s="39">
        <f>SUM(AA13:AA14)</f>
        <v>0</v>
      </c>
      <c r="AK12" s="39">
        <f>SUM(AB13:AB14)</f>
        <v>0</v>
      </c>
    </row>
    <row r="13" spans="1:32" ht="12.75">
      <c r="A13" s="22" t="s">
        <v>74</v>
      </c>
      <c r="B13" s="22"/>
      <c r="C13" s="22" t="s">
        <v>75</v>
      </c>
      <c r="D13" s="22" t="s">
        <v>76</v>
      </c>
      <c r="E13" s="22" t="s">
        <v>77</v>
      </c>
      <c r="F13" s="40">
        <v>3.55</v>
      </c>
      <c r="G13" s="40"/>
      <c r="H13" s="40">
        <f>ROUND(F13*AE13,2)</f>
        <v>0</v>
      </c>
      <c r="I13" s="40">
        <f>J13-H13</f>
        <v>0</v>
      </c>
      <c r="J13" s="40">
        <f>ROUND(F13*G13,2)</f>
        <v>0</v>
      </c>
      <c r="K13" s="40">
        <v>0</v>
      </c>
      <c r="L13" s="40">
        <f>F13*K13</f>
        <v>0</v>
      </c>
      <c r="N13" s="41" t="s">
        <v>74</v>
      </c>
      <c r="O13" s="40">
        <f>IF(N13="5",I13,0)</f>
        <v>0</v>
      </c>
      <c r="Z13" s="40">
        <f>IF(AD13=0,J13,0)</f>
        <v>0</v>
      </c>
      <c r="AA13" s="40">
        <f>IF(AD13=10,J13,0)</f>
        <v>0</v>
      </c>
      <c r="AB13" s="40">
        <f>IF(AD13=20,J13,0)</f>
        <v>0</v>
      </c>
      <c r="AD13" s="40">
        <v>20</v>
      </c>
      <c r="AE13" s="40">
        <f>G13*0</f>
        <v>0</v>
      </c>
      <c r="AF13" s="40">
        <f>G13*(1-0)</f>
        <v>0</v>
      </c>
    </row>
    <row r="14" spans="1:32" ht="12.75">
      <c r="A14" s="22" t="s">
        <v>78</v>
      </c>
      <c r="B14" s="22"/>
      <c r="C14" s="22" t="s">
        <v>79</v>
      </c>
      <c r="D14" s="22" t="s">
        <v>80</v>
      </c>
      <c r="E14" s="22" t="s">
        <v>77</v>
      </c>
      <c r="F14" s="40">
        <v>3.55</v>
      </c>
      <c r="G14" s="40"/>
      <c r="H14" s="40">
        <f>ROUND(F14*AE14,2)</f>
        <v>0</v>
      </c>
      <c r="I14" s="40">
        <f>J14-H14</f>
        <v>0</v>
      </c>
      <c r="J14" s="40">
        <f>ROUND(F14*G14,2)</f>
        <v>0</v>
      </c>
      <c r="K14" s="40">
        <v>0</v>
      </c>
      <c r="L14" s="40">
        <f>F14*K14</f>
        <v>0</v>
      </c>
      <c r="N14" s="41" t="s">
        <v>74</v>
      </c>
      <c r="O14" s="40">
        <f>IF(N14="5",I14,0)</f>
        <v>0</v>
      </c>
      <c r="Z14" s="40">
        <f>IF(AD14=0,J14,0)</f>
        <v>0</v>
      </c>
      <c r="AA14" s="40">
        <f>IF(AD14=10,J14,0)</f>
        <v>0</v>
      </c>
      <c r="AB14" s="40">
        <f>IF(AD14=20,J14,0)</f>
        <v>0</v>
      </c>
      <c r="AD14" s="40">
        <v>20</v>
      </c>
      <c r="AE14" s="40">
        <f>G14*0</f>
        <v>0</v>
      </c>
      <c r="AF14" s="40">
        <f>G14*(1-0)</f>
        <v>0</v>
      </c>
    </row>
    <row r="15" spans="1:37" ht="12.75">
      <c r="A15" s="42"/>
      <c r="B15" s="42"/>
      <c r="C15" s="43" t="s">
        <v>81</v>
      </c>
      <c r="D15" s="140" t="s">
        <v>82</v>
      </c>
      <c r="E15" s="141"/>
      <c r="F15" s="141"/>
      <c r="G15" s="141"/>
      <c r="H15" s="39">
        <f>SUM(H16:H18)</f>
        <v>0</v>
      </c>
      <c r="I15" s="39">
        <f>SUM(I16:I18)</f>
        <v>0</v>
      </c>
      <c r="J15" s="39">
        <f>H15+I15</f>
        <v>0</v>
      </c>
      <c r="K15" s="34"/>
      <c r="L15" s="39">
        <f>SUM(L16:L18)</f>
        <v>0</v>
      </c>
      <c r="P15" s="39">
        <f>IF(Q15="PR",J15,SUM(O16:O18))</f>
        <v>0</v>
      </c>
      <c r="Q15" s="34" t="s">
        <v>73</v>
      </c>
      <c r="R15" s="39">
        <f>IF(Q15="HS",H15,0)</f>
        <v>0</v>
      </c>
      <c r="S15" s="39">
        <f>IF(Q15="HS",I15-P15,0)</f>
        <v>0</v>
      </c>
      <c r="T15" s="39">
        <f>IF(Q15="PS",H15,0)</f>
        <v>0</v>
      </c>
      <c r="U15" s="39">
        <f>IF(Q15="PS",I15-P15,0)</f>
        <v>0</v>
      </c>
      <c r="V15" s="39">
        <f>IF(Q15="MP",H15,0)</f>
        <v>0</v>
      </c>
      <c r="W15" s="39">
        <f>IF(Q15="MP",I15-P15,0)</f>
        <v>0</v>
      </c>
      <c r="X15" s="39">
        <f>IF(Q15="OM",H15,0)</f>
        <v>0</v>
      </c>
      <c r="Y15" s="34"/>
      <c r="AI15" s="39">
        <f>SUM(Z16:Z18)</f>
        <v>0</v>
      </c>
      <c r="AJ15" s="39">
        <f>SUM(AA16:AA18)</f>
        <v>0</v>
      </c>
      <c r="AK15" s="39">
        <f>SUM(AB16:AB18)</f>
        <v>0</v>
      </c>
    </row>
    <row r="16" spans="1:32" ht="12.75">
      <c r="A16" s="22" t="s">
        <v>83</v>
      </c>
      <c r="B16" s="22"/>
      <c r="C16" s="22" t="s">
        <v>84</v>
      </c>
      <c r="D16" s="22" t="s">
        <v>85</v>
      </c>
      <c r="E16" s="22" t="s">
        <v>77</v>
      </c>
      <c r="F16" s="40">
        <v>3.55</v>
      </c>
      <c r="G16" s="40"/>
      <c r="H16" s="40">
        <f>ROUND(F16*AE16,2)</f>
        <v>0</v>
      </c>
      <c r="I16" s="40">
        <f>J16-H16</f>
        <v>0</v>
      </c>
      <c r="J16" s="40">
        <f>ROUND(F16*G16,2)</f>
        <v>0</v>
      </c>
      <c r="K16" s="40">
        <v>0</v>
      </c>
      <c r="L16" s="40">
        <f>F16*K16</f>
        <v>0</v>
      </c>
      <c r="N16" s="41" t="s">
        <v>74</v>
      </c>
      <c r="O16" s="40">
        <f>IF(N16="5",I16,0)</f>
        <v>0</v>
      </c>
      <c r="Z16" s="40">
        <f>IF(AD16=0,J16,0)</f>
        <v>0</v>
      </c>
      <c r="AA16" s="40">
        <f>IF(AD16=10,J16,0)</f>
        <v>0</v>
      </c>
      <c r="AB16" s="40">
        <f>IF(AD16=20,J16,0)</f>
        <v>0</v>
      </c>
      <c r="AD16" s="40">
        <v>20</v>
      </c>
      <c r="AE16" s="40">
        <f>G16*0</f>
        <v>0</v>
      </c>
      <c r="AF16" s="40">
        <f>G16*(1-0)</f>
        <v>0</v>
      </c>
    </row>
    <row r="17" spans="1:32" ht="12.75">
      <c r="A17" s="22" t="s">
        <v>86</v>
      </c>
      <c r="B17" s="22"/>
      <c r="C17" s="22" t="s">
        <v>87</v>
      </c>
      <c r="D17" s="22" t="s">
        <v>88</v>
      </c>
      <c r="E17" s="22" t="s">
        <v>77</v>
      </c>
      <c r="F17" s="40">
        <v>3.55</v>
      </c>
      <c r="G17" s="40"/>
      <c r="H17" s="40">
        <f>ROUND(F17*AE17,2)</f>
        <v>0</v>
      </c>
      <c r="I17" s="40">
        <f>J17-H17</f>
        <v>0</v>
      </c>
      <c r="J17" s="40">
        <f>ROUND(F17*G17,2)</f>
        <v>0</v>
      </c>
      <c r="K17" s="40">
        <v>0</v>
      </c>
      <c r="L17" s="40">
        <f>F17*K17</f>
        <v>0</v>
      </c>
      <c r="N17" s="41" t="s">
        <v>74</v>
      </c>
      <c r="O17" s="40">
        <f>IF(N17="5",I17,0)</f>
        <v>0</v>
      </c>
      <c r="Z17" s="40">
        <f>IF(AD17=0,J17,0)</f>
        <v>0</v>
      </c>
      <c r="AA17" s="40">
        <f>IF(AD17=10,J17,0)</f>
        <v>0</v>
      </c>
      <c r="AB17" s="40">
        <f>IF(AD17=20,J17,0)</f>
        <v>0</v>
      </c>
      <c r="AD17" s="40">
        <v>20</v>
      </c>
      <c r="AE17" s="40">
        <f>G17*0</f>
        <v>0</v>
      </c>
      <c r="AF17" s="40">
        <f>G17*(1-0)</f>
        <v>0</v>
      </c>
    </row>
    <row r="18" spans="1:32" ht="12.75">
      <c r="A18" s="22" t="s">
        <v>89</v>
      </c>
      <c r="B18" s="22"/>
      <c r="C18" s="22" t="s">
        <v>90</v>
      </c>
      <c r="D18" s="22" t="s">
        <v>91</v>
      </c>
      <c r="E18" s="22" t="s">
        <v>77</v>
      </c>
      <c r="F18" s="40">
        <v>3.55</v>
      </c>
      <c r="G18" s="40"/>
      <c r="H18" s="40">
        <f>ROUND(F18*AE18,2)</f>
        <v>0</v>
      </c>
      <c r="I18" s="40">
        <f>J18-H18</f>
        <v>0</v>
      </c>
      <c r="J18" s="40">
        <f>ROUND(F18*G18,2)</f>
        <v>0</v>
      </c>
      <c r="K18" s="40">
        <v>0</v>
      </c>
      <c r="L18" s="40">
        <f>F18*K18</f>
        <v>0</v>
      </c>
      <c r="N18" s="41" t="s">
        <v>74</v>
      </c>
      <c r="O18" s="40">
        <f>IF(N18="5",I18,0)</f>
        <v>0</v>
      </c>
      <c r="Z18" s="40">
        <f>IF(AD18=0,J18,0)</f>
        <v>0</v>
      </c>
      <c r="AA18" s="40">
        <f>IF(AD18=10,J18,0)</f>
        <v>0</v>
      </c>
      <c r="AB18" s="40">
        <f>IF(AD18=20,J18,0)</f>
        <v>0</v>
      </c>
      <c r="AD18" s="40">
        <v>20</v>
      </c>
      <c r="AE18" s="40">
        <f>G18*0</f>
        <v>0</v>
      </c>
      <c r="AF18" s="40">
        <f>G18*(1-0)</f>
        <v>0</v>
      </c>
    </row>
    <row r="19" spans="1:37" ht="12.75">
      <c r="A19" s="42"/>
      <c r="B19" s="42"/>
      <c r="C19" s="43" t="s">
        <v>92</v>
      </c>
      <c r="D19" s="140" t="s">
        <v>93</v>
      </c>
      <c r="E19" s="141"/>
      <c r="F19" s="141"/>
      <c r="G19" s="141"/>
      <c r="H19" s="39">
        <f>SUM(H20:H23)</f>
        <v>0</v>
      </c>
      <c r="I19" s="39">
        <f>SUM(I20:I23)</f>
        <v>0</v>
      </c>
      <c r="J19" s="39">
        <f>H19+I19</f>
        <v>0</v>
      </c>
      <c r="K19" s="34"/>
      <c r="L19" s="39">
        <f>SUM(L20:L23)</f>
        <v>7.97</v>
      </c>
      <c r="P19" s="39">
        <f>IF(Q19="PR",J19,SUM(O20:O23))</f>
        <v>0</v>
      </c>
      <c r="Q19" s="34" t="s">
        <v>73</v>
      </c>
      <c r="R19" s="39">
        <f>IF(Q19="HS",H19,0)</f>
        <v>0</v>
      </c>
      <c r="S19" s="39">
        <f>IF(Q19="HS",I19-P19,0)</f>
        <v>0</v>
      </c>
      <c r="T19" s="39">
        <f>IF(Q19="PS",H19,0)</f>
        <v>0</v>
      </c>
      <c r="U19" s="39">
        <f>IF(Q19="PS",I19-P19,0)</f>
        <v>0</v>
      </c>
      <c r="V19" s="39">
        <f>IF(Q19="MP",H19,0)</f>
        <v>0</v>
      </c>
      <c r="W19" s="39">
        <f>IF(Q19="MP",I19-P19,0)</f>
        <v>0</v>
      </c>
      <c r="X19" s="39">
        <f>IF(Q19="OM",H19,0)</f>
        <v>0</v>
      </c>
      <c r="Y19" s="34"/>
      <c r="AI19" s="39">
        <f>SUM(Z20:Z23)</f>
        <v>0</v>
      </c>
      <c r="AJ19" s="39">
        <f>SUM(AA20:AA23)</f>
        <v>0</v>
      </c>
      <c r="AK19" s="39">
        <f>SUM(AB20:AB23)</f>
        <v>0</v>
      </c>
    </row>
    <row r="20" spans="1:32" ht="12.75">
      <c r="A20" s="22" t="s">
        <v>94</v>
      </c>
      <c r="B20" s="22"/>
      <c r="C20" s="22" t="s">
        <v>95</v>
      </c>
      <c r="D20" s="22" t="s">
        <v>96</v>
      </c>
      <c r="E20" s="22" t="s">
        <v>77</v>
      </c>
      <c r="F20" s="40">
        <v>3.55</v>
      </c>
      <c r="G20" s="40"/>
      <c r="H20" s="40">
        <f>ROUND(F20*AE20,2)</f>
        <v>0</v>
      </c>
      <c r="I20" s="40">
        <f>J20-H20</f>
        <v>0</v>
      </c>
      <c r="J20" s="40">
        <f>ROUND(F20*G20,2)</f>
        <v>0</v>
      </c>
      <c r="K20" s="40">
        <v>0</v>
      </c>
      <c r="L20" s="40">
        <f>F20*K20</f>
        <v>0</v>
      </c>
      <c r="N20" s="41" t="s">
        <v>74</v>
      </c>
      <c r="O20" s="40">
        <f>IF(N20="5",I20,0)</f>
        <v>0</v>
      </c>
      <c r="Z20" s="40">
        <f>IF(AD20=0,J20,0)</f>
        <v>0</v>
      </c>
      <c r="AA20" s="40">
        <f>IF(AD20=10,J20,0)</f>
        <v>0</v>
      </c>
      <c r="AB20" s="40">
        <f>IF(AD20=20,J20,0)</f>
        <v>0</v>
      </c>
      <c r="AD20" s="40">
        <v>20</v>
      </c>
      <c r="AE20" s="40">
        <f>G20*0</f>
        <v>0</v>
      </c>
      <c r="AF20" s="40">
        <f>G20*(1-0)</f>
        <v>0</v>
      </c>
    </row>
    <row r="21" spans="1:32" ht="12.75">
      <c r="A21" s="22" t="s">
        <v>97</v>
      </c>
      <c r="B21" s="22"/>
      <c r="C21" s="22" t="s">
        <v>98</v>
      </c>
      <c r="D21" s="22" t="s">
        <v>99</v>
      </c>
      <c r="E21" s="22" t="s">
        <v>77</v>
      </c>
      <c r="F21" s="40">
        <v>4.43</v>
      </c>
      <c r="G21" s="40"/>
      <c r="H21" s="40">
        <f>ROUND(F21*AE21,2)</f>
        <v>0</v>
      </c>
      <c r="I21" s="40">
        <f>J21-H21</f>
        <v>0</v>
      </c>
      <c r="J21" s="40">
        <f>ROUND(F21*G21,2)</f>
        <v>0</v>
      </c>
      <c r="K21" s="40">
        <v>0</v>
      </c>
      <c r="L21" s="40">
        <f>F21*K21</f>
        <v>0</v>
      </c>
      <c r="N21" s="41" t="s">
        <v>74</v>
      </c>
      <c r="O21" s="40">
        <f>IF(N21="5",I21,0)</f>
        <v>0</v>
      </c>
      <c r="Z21" s="40">
        <f>IF(AD21=0,J21,0)</f>
        <v>0</v>
      </c>
      <c r="AA21" s="40">
        <f>IF(AD21=10,J21,0)</f>
        <v>0</v>
      </c>
      <c r="AB21" s="40">
        <f>IF(AD21=20,J21,0)</f>
        <v>0</v>
      </c>
      <c r="AD21" s="40">
        <v>20</v>
      </c>
      <c r="AE21" s="40">
        <f>G21*0</f>
        <v>0</v>
      </c>
      <c r="AF21" s="40">
        <f>G21*(1-0)</f>
        <v>0</v>
      </c>
    </row>
    <row r="22" spans="1:32" ht="12.75">
      <c r="A22" s="22" t="s">
        <v>100</v>
      </c>
      <c r="B22" s="22"/>
      <c r="C22" s="22" t="s">
        <v>101</v>
      </c>
      <c r="D22" s="22" t="s">
        <v>102</v>
      </c>
      <c r="E22" s="22" t="s">
        <v>103</v>
      </c>
      <c r="F22" s="40">
        <v>7.97</v>
      </c>
      <c r="G22" s="40"/>
      <c r="H22" s="40">
        <f>ROUND(F22*AE22,2)</f>
        <v>0</v>
      </c>
      <c r="I22" s="40">
        <f>J22-H22</f>
        <v>0</v>
      </c>
      <c r="J22" s="40">
        <f>ROUND(F22*G22,2)</f>
        <v>0</v>
      </c>
      <c r="K22" s="40">
        <v>1</v>
      </c>
      <c r="L22" s="40">
        <f>F22*K22</f>
        <v>7.97</v>
      </c>
      <c r="N22" s="41" t="s">
        <v>104</v>
      </c>
      <c r="O22" s="40">
        <f>IF(N22="5",I22,0)</f>
        <v>0</v>
      </c>
      <c r="Z22" s="40">
        <f>IF(AD22=0,J22,0)</f>
        <v>0</v>
      </c>
      <c r="AA22" s="40">
        <f>IF(AD22=10,J22,0)</f>
        <v>0</v>
      </c>
      <c r="AB22" s="40">
        <f>IF(AD22=20,J22,0)</f>
        <v>0</v>
      </c>
      <c r="AD22" s="40">
        <v>20</v>
      </c>
      <c r="AE22" s="40">
        <f>G22*1</f>
        <v>0</v>
      </c>
      <c r="AF22" s="40">
        <f>G22*(1-1)</f>
        <v>0</v>
      </c>
    </row>
    <row r="23" spans="1:32" ht="12.75">
      <c r="A23" s="22" t="s">
        <v>105</v>
      </c>
      <c r="B23" s="22"/>
      <c r="C23" s="22" t="s">
        <v>106</v>
      </c>
      <c r="D23" s="22" t="s">
        <v>107</v>
      </c>
      <c r="E23" s="22" t="s">
        <v>77</v>
      </c>
      <c r="F23" s="40">
        <v>4.43</v>
      </c>
      <c r="G23" s="40"/>
      <c r="H23" s="40">
        <f>ROUND(F23*AE23,2)</f>
        <v>0</v>
      </c>
      <c r="I23" s="40">
        <f>J23-H23</f>
        <v>0</v>
      </c>
      <c r="J23" s="40">
        <f>ROUND(F23*G23,2)</f>
        <v>0</v>
      </c>
      <c r="K23" s="40">
        <v>0</v>
      </c>
      <c r="L23" s="40">
        <f>F23*K23</f>
        <v>0</v>
      </c>
      <c r="N23" s="41" t="s">
        <v>74</v>
      </c>
      <c r="O23" s="40">
        <f>IF(N23="5",I23,0)</f>
        <v>0</v>
      </c>
      <c r="Z23" s="40">
        <f>IF(AD23=0,J23,0)</f>
        <v>0</v>
      </c>
      <c r="AA23" s="40">
        <f>IF(AD23=10,J23,0)</f>
        <v>0</v>
      </c>
      <c r="AB23" s="40">
        <f>IF(AD23=20,J23,0)</f>
        <v>0</v>
      </c>
      <c r="AD23" s="40">
        <v>20</v>
      </c>
      <c r="AE23" s="40">
        <f>G23*0</f>
        <v>0</v>
      </c>
      <c r="AF23" s="40">
        <f>G23*(1-0)</f>
        <v>0</v>
      </c>
    </row>
    <row r="24" spans="1:37" ht="12.75">
      <c r="A24" s="42"/>
      <c r="B24" s="42"/>
      <c r="C24" s="43" t="s">
        <v>113</v>
      </c>
      <c r="D24" s="140" t="s">
        <v>114</v>
      </c>
      <c r="E24" s="141"/>
      <c r="F24" s="141"/>
      <c r="G24" s="141"/>
      <c r="H24" s="39">
        <f>SUM(H25:H28)</f>
        <v>0</v>
      </c>
      <c r="I24" s="39">
        <f>SUM(I25:I28)</f>
        <v>0</v>
      </c>
      <c r="J24" s="39">
        <f>H24+I24</f>
        <v>0</v>
      </c>
      <c r="K24" s="34"/>
      <c r="L24" s="39">
        <f>SUM(L25:L28)</f>
        <v>12.466559700000003</v>
      </c>
      <c r="P24" s="39">
        <f>IF(Q24="PR",J24,SUM(O25:O28))</f>
        <v>0</v>
      </c>
      <c r="Q24" s="34" t="s">
        <v>73</v>
      </c>
      <c r="R24" s="39">
        <f>IF(Q24="HS",H24,0)</f>
        <v>0</v>
      </c>
      <c r="S24" s="39">
        <f>IF(Q24="HS",I24-P24,0)</f>
        <v>0</v>
      </c>
      <c r="T24" s="39">
        <f>IF(Q24="PS",H24,0)</f>
        <v>0</v>
      </c>
      <c r="U24" s="39">
        <f>IF(Q24="PS",I24-P24,0)</f>
        <v>0</v>
      </c>
      <c r="V24" s="39">
        <f>IF(Q24="MP",H24,0)</f>
        <v>0</v>
      </c>
      <c r="W24" s="39">
        <f>IF(Q24="MP",I24-P24,0)</f>
        <v>0</v>
      </c>
      <c r="X24" s="39">
        <f>IF(Q24="OM",H24,0)</f>
        <v>0</v>
      </c>
      <c r="Y24" s="34"/>
      <c r="AI24" s="39">
        <f>SUM(Z25:Z28)</f>
        <v>0</v>
      </c>
      <c r="AJ24" s="39">
        <f>SUM(AA25:AA28)</f>
        <v>0</v>
      </c>
      <c r="AK24" s="39">
        <f>SUM(AB25:AB28)</f>
        <v>0</v>
      </c>
    </row>
    <row r="25" spans="1:32" ht="12.75">
      <c r="A25" s="22" t="s">
        <v>109</v>
      </c>
      <c r="B25" s="22"/>
      <c r="C25" s="22" t="s">
        <v>115</v>
      </c>
      <c r="D25" s="22" t="s">
        <v>116</v>
      </c>
      <c r="E25" s="22" t="s">
        <v>77</v>
      </c>
      <c r="F25" s="40">
        <v>4.69</v>
      </c>
      <c r="G25" s="40"/>
      <c r="H25" s="40">
        <f>ROUND(F25*AE25,2)</f>
        <v>0</v>
      </c>
      <c r="I25" s="40">
        <f>J25-H25</f>
        <v>0</v>
      </c>
      <c r="J25" s="40">
        <f>ROUND(F25*G25,2)</f>
        <v>0</v>
      </c>
      <c r="K25" s="40">
        <v>2.47494</v>
      </c>
      <c r="L25" s="40">
        <f>F25*K25</f>
        <v>11.607468600000002</v>
      </c>
      <c r="N25" s="41" t="s">
        <v>74</v>
      </c>
      <c r="O25" s="40">
        <f>IF(N25="5",I25,0)</f>
        <v>0</v>
      </c>
      <c r="Z25" s="40">
        <f>IF(AD25=0,J25,0)</f>
        <v>0</v>
      </c>
      <c r="AA25" s="40">
        <f>IF(AD25=10,J25,0)</f>
        <v>0</v>
      </c>
      <c r="AB25" s="40">
        <f>IF(AD25=20,J25,0)</f>
        <v>0</v>
      </c>
      <c r="AD25" s="40">
        <v>20</v>
      </c>
      <c r="AE25" s="40">
        <f>G25*0.951372648096114</f>
        <v>0</v>
      </c>
      <c r="AF25" s="40">
        <f>G25*(1-0.951372648096114)</f>
        <v>0</v>
      </c>
    </row>
    <row r="26" spans="1:32" ht="12.75">
      <c r="A26" s="22" t="s">
        <v>111</v>
      </c>
      <c r="B26" s="22"/>
      <c r="C26" s="22" t="s">
        <v>118</v>
      </c>
      <c r="D26" s="22" t="s">
        <v>119</v>
      </c>
      <c r="E26" s="22" t="s">
        <v>110</v>
      </c>
      <c r="F26" s="40">
        <v>21.91</v>
      </c>
      <c r="G26" s="40"/>
      <c r="H26" s="40">
        <f>ROUND(F26*AE26,2)</f>
        <v>0</v>
      </c>
      <c r="I26" s="40">
        <f>J26-H26</f>
        <v>0</v>
      </c>
      <c r="J26" s="40">
        <f>ROUND(F26*G26,2)</f>
        <v>0</v>
      </c>
      <c r="K26" s="40">
        <v>0.03921</v>
      </c>
      <c r="L26" s="40">
        <f>F26*K26</f>
        <v>0.8590911</v>
      </c>
      <c r="N26" s="41" t="s">
        <v>74</v>
      </c>
      <c r="O26" s="40">
        <f>IF(N26="5",I26,0)</f>
        <v>0</v>
      </c>
      <c r="Z26" s="40">
        <f>IF(AD26=0,J26,0)</f>
        <v>0</v>
      </c>
      <c r="AA26" s="40">
        <f>IF(AD26=10,J26,0)</f>
        <v>0</v>
      </c>
      <c r="AB26" s="40">
        <f>IF(AD26=20,J26,0)</f>
        <v>0</v>
      </c>
      <c r="AD26" s="40">
        <v>20</v>
      </c>
      <c r="AE26" s="40">
        <f>G26*0.298631766805473</f>
        <v>0</v>
      </c>
      <c r="AF26" s="40">
        <f>G26*(1-0.298631766805473)</f>
        <v>0</v>
      </c>
    </row>
    <row r="27" spans="1:32" ht="12.75">
      <c r="A27" s="22" t="s">
        <v>112</v>
      </c>
      <c r="B27" s="22"/>
      <c r="C27" s="22" t="s">
        <v>121</v>
      </c>
      <c r="D27" s="22" t="s">
        <v>122</v>
      </c>
      <c r="E27" s="22" t="s">
        <v>110</v>
      </c>
      <c r="F27" s="40">
        <v>21.91</v>
      </c>
      <c r="G27" s="40"/>
      <c r="H27" s="40">
        <f>ROUND(F27*AE27,2)</f>
        <v>0</v>
      </c>
      <c r="I27" s="40">
        <f>J27-H27</f>
        <v>0</v>
      </c>
      <c r="J27" s="40">
        <f>ROUND(F27*G27,2)</f>
        <v>0</v>
      </c>
      <c r="K27" s="40">
        <v>0</v>
      </c>
      <c r="L27" s="40">
        <f>F27*K27</f>
        <v>0</v>
      </c>
      <c r="N27" s="41" t="s">
        <v>74</v>
      </c>
      <c r="O27" s="40">
        <f>IF(N27="5",I27,0)</f>
        <v>0</v>
      </c>
      <c r="Z27" s="40">
        <f>IF(AD27=0,J27,0)</f>
        <v>0</v>
      </c>
      <c r="AA27" s="40">
        <f>IF(AD27=10,J27,0)</f>
        <v>0</v>
      </c>
      <c r="AB27" s="40">
        <f>IF(AD27=20,J27,0)</f>
        <v>0</v>
      </c>
      <c r="AD27" s="40">
        <v>20</v>
      </c>
      <c r="AE27" s="40">
        <f>G27*0</f>
        <v>0</v>
      </c>
      <c r="AF27" s="40">
        <f>G27*(1-0)</f>
        <v>0</v>
      </c>
    </row>
    <row r="28" spans="1:32" ht="12.75">
      <c r="A28" s="22" t="s">
        <v>71</v>
      </c>
      <c r="B28" s="22"/>
      <c r="C28" s="22" t="s">
        <v>123</v>
      </c>
      <c r="D28" s="22" t="s">
        <v>124</v>
      </c>
      <c r="E28" s="22" t="s">
        <v>125</v>
      </c>
      <c r="F28" s="40">
        <v>12.46656</v>
      </c>
      <c r="G28" s="40"/>
      <c r="H28" s="40">
        <f>ROUND(F28*AE28,2)</f>
        <v>0</v>
      </c>
      <c r="I28" s="40">
        <f>J28-H28</f>
        <v>0</v>
      </c>
      <c r="J28" s="40">
        <f>ROUND(F28*G28,2)</f>
        <v>0</v>
      </c>
      <c r="K28" s="40">
        <v>0</v>
      </c>
      <c r="L28" s="40">
        <f>F28*K28</f>
        <v>0</v>
      </c>
      <c r="N28" s="41" t="s">
        <v>89</v>
      </c>
      <c r="O28" s="40">
        <f>IF(N28="5",I28,0)</f>
        <v>0</v>
      </c>
      <c r="Z28" s="40">
        <f>IF(AD28=0,J28,0)</f>
        <v>0</v>
      </c>
      <c r="AA28" s="40">
        <f>IF(AD28=10,J28,0)</f>
        <v>0</v>
      </c>
      <c r="AB28" s="40">
        <f>IF(AD28=20,J28,0)</f>
        <v>0</v>
      </c>
      <c r="AD28" s="40">
        <v>20</v>
      </c>
      <c r="AE28" s="40">
        <f>G28*0</f>
        <v>0</v>
      </c>
      <c r="AF28" s="40">
        <f>G28*(1-0)</f>
        <v>0</v>
      </c>
    </row>
    <row r="29" spans="1:37" ht="12.75">
      <c r="A29" s="42"/>
      <c r="B29" s="42"/>
      <c r="C29" s="43" t="s">
        <v>126</v>
      </c>
      <c r="D29" s="140" t="s">
        <v>127</v>
      </c>
      <c r="E29" s="141"/>
      <c r="F29" s="141"/>
      <c r="G29" s="141"/>
      <c r="H29" s="39">
        <f>SUM(H30:H30)</f>
        <v>0</v>
      </c>
      <c r="I29" s="39">
        <f>SUM(I30:I30)</f>
        <v>0</v>
      </c>
      <c r="J29" s="39">
        <f>H29+I29</f>
        <v>0</v>
      </c>
      <c r="K29" s="34"/>
      <c r="L29" s="39">
        <f>SUM(L30:L30)</f>
        <v>0.3831039</v>
      </c>
      <c r="P29" s="39">
        <f>IF(Q29="PR",J29,SUM(O30:O30))</f>
        <v>0</v>
      </c>
      <c r="Q29" s="34" t="s">
        <v>73</v>
      </c>
      <c r="R29" s="39">
        <f>IF(Q29="HS",H29,0)</f>
        <v>0</v>
      </c>
      <c r="S29" s="39">
        <f>IF(Q29="HS",I29-P29,0)</f>
        <v>0</v>
      </c>
      <c r="T29" s="39">
        <f>IF(Q29="PS",H29,0)</f>
        <v>0</v>
      </c>
      <c r="U29" s="39">
        <f>IF(Q29="PS",I29-P29,0)</f>
        <v>0</v>
      </c>
      <c r="V29" s="39">
        <f>IF(Q29="MP",H29,0)</f>
        <v>0</v>
      </c>
      <c r="W29" s="39">
        <f>IF(Q29="MP",I29-P29,0)</f>
        <v>0</v>
      </c>
      <c r="X29" s="39">
        <f>IF(Q29="OM",H29,0)</f>
        <v>0</v>
      </c>
      <c r="Y29" s="34"/>
      <c r="AI29" s="39">
        <f>SUM(Z30:Z30)</f>
        <v>0</v>
      </c>
      <c r="AJ29" s="39">
        <f>SUM(AA30:AA30)</f>
        <v>0</v>
      </c>
      <c r="AK29" s="39">
        <f>SUM(AB30:AB30)</f>
        <v>0</v>
      </c>
    </row>
    <row r="30" spans="1:32" ht="12.75">
      <c r="A30" s="22" t="s">
        <v>117</v>
      </c>
      <c r="B30" s="22"/>
      <c r="C30" s="22" t="s">
        <v>128</v>
      </c>
      <c r="D30" s="22" t="s">
        <v>129</v>
      </c>
      <c r="E30" s="22" t="s">
        <v>110</v>
      </c>
      <c r="F30" s="40">
        <v>10.17</v>
      </c>
      <c r="G30" s="40"/>
      <c r="H30" s="40">
        <f>ROUND(F30*AE30,2)</f>
        <v>0</v>
      </c>
      <c r="I30" s="40">
        <f>J30-H30</f>
        <v>0</v>
      </c>
      <c r="J30" s="40">
        <f>ROUND(F30*G30,2)</f>
        <v>0</v>
      </c>
      <c r="K30" s="40">
        <v>0.03767</v>
      </c>
      <c r="L30" s="40">
        <f>F30*K30</f>
        <v>0.3831039</v>
      </c>
      <c r="N30" s="41" t="s">
        <v>74</v>
      </c>
      <c r="O30" s="40">
        <f>IF(N30="5",I30,0)</f>
        <v>0</v>
      </c>
      <c r="Z30" s="40">
        <f>IF(AD30=0,J30,0)</f>
        <v>0</v>
      </c>
      <c r="AA30" s="40">
        <f>IF(AD30=10,J30,0)</f>
        <v>0</v>
      </c>
      <c r="AB30" s="40">
        <f>IF(AD30=20,J30,0)</f>
        <v>0</v>
      </c>
      <c r="AD30" s="40">
        <v>20</v>
      </c>
      <c r="AE30" s="40">
        <f>G30*0.257589942490304</f>
        <v>0</v>
      </c>
      <c r="AF30" s="40">
        <f>G30*(1-0.257589942490304)</f>
        <v>0</v>
      </c>
    </row>
    <row r="31" spans="1:37" ht="12.75">
      <c r="A31" s="42"/>
      <c r="B31" s="42"/>
      <c r="C31" s="43" t="s">
        <v>130</v>
      </c>
      <c r="D31" s="140" t="s">
        <v>131</v>
      </c>
      <c r="E31" s="141"/>
      <c r="F31" s="141"/>
      <c r="G31" s="141"/>
      <c r="H31" s="39">
        <f>SUM(H32:H32)</f>
        <v>0</v>
      </c>
      <c r="I31" s="39">
        <f>SUM(I32:I32)</f>
        <v>0</v>
      </c>
      <c r="J31" s="39">
        <f>H31+I31</f>
        <v>0</v>
      </c>
      <c r="K31" s="34"/>
      <c r="L31" s="39">
        <f>SUM(L32:L32)</f>
        <v>0</v>
      </c>
      <c r="P31" s="39">
        <f>IF(Q31="PR",J31,SUM(O32:O32))</f>
        <v>0</v>
      </c>
      <c r="Q31" s="34" t="s">
        <v>73</v>
      </c>
      <c r="R31" s="39">
        <f>IF(Q31="HS",H31,0)</f>
        <v>0</v>
      </c>
      <c r="S31" s="39">
        <f>IF(Q31="HS",I31-P31,0)</f>
        <v>0</v>
      </c>
      <c r="T31" s="39">
        <f>IF(Q31="PS",H31,0)</f>
        <v>0</v>
      </c>
      <c r="U31" s="39">
        <f>IF(Q31="PS",I31-P31,0)</f>
        <v>0</v>
      </c>
      <c r="V31" s="39">
        <f>IF(Q31="MP",H31,0)</f>
        <v>0</v>
      </c>
      <c r="W31" s="39">
        <f>IF(Q31="MP",I31-P31,0)</f>
        <v>0</v>
      </c>
      <c r="X31" s="39">
        <f>IF(Q31="OM",H31,0)</f>
        <v>0</v>
      </c>
      <c r="Y31" s="34"/>
      <c r="AI31" s="39">
        <f>SUM(Z32:Z32)</f>
        <v>0</v>
      </c>
      <c r="AJ31" s="39">
        <f>SUM(AA32:AA32)</f>
        <v>0</v>
      </c>
      <c r="AK31" s="39">
        <f>SUM(AB32:AB32)</f>
        <v>0</v>
      </c>
    </row>
    <row r="32" spans="1:32" ht="12.75">
      <c r="A32" s="22" t="s">
        <v>120</v>
      </c>
      <c r="B32" s="22"/>
      <c r="C32" s="22" t="s">
        <v>132</v>
      </c>
      <c r="D32" s="22" t="s">
        <v>288</v>
      </c>
      <c r="E32" s="22" t="s">
        <v>134</v>
      </c>
      <c r="F32" s="40">
        <v>15</v>
      </c>
      <c r="G32" s="40"/>
      <c r="H32" s="40">
        <f>ROUND(F32*AE32,2)</f>
        <v>0</v>
      </c>
      <c r="I32" s="40">
        <f>J32-H32</f>
        <v>0</v>
      </c>
      <c r="J32" s="40">
        <f>ROUND(F32*G32,2)</f>
        <v>0</v>
      </c>
      <c r="K32" s="40">
        <v>0</v>
      </c>
      <c r="L32" s="40">
        <f>F32*K32</f>
        <v>0</v>
      </c>
      <c r="N32" s="41" t="s">
        <v>74</v>
      </c>
      <c r="O32" s="40">
        <f>IF(N32="5",I32,0)</f>
        <v>0</v>
      </c>
      <c r="Z32" s="40">
        <f>IF(AD32=0,J32,0)</f>
        <v>0</v>
      </c>
      <c r="AA32" s="40">
        <f>IF(AD32=10,J32,0)</f>
        <v>0</v>
      </c>
      <c r="AB32" s="40">
        <f>IF(AD32=20,J32,0)</f>
        <v>0</v>
      </c>
      <c r="AD32" s="40">
        <v>20</v>
      </c>
      <c r="AE32" s="40">
        <f>G32*0</f>
        <v>0</v>
      </c>
      <c r="AF32" s="40">
        <f>G32*(1-0)</f>
        <v>0</v>
      </c>
    </row>
    <row r="33" spans="1:37" ht="12.75">
      <c r="A33" s="42"/>
      <c r="B33" s="42"/>
      <c r="C33" s="43" t="s">
        <v>135</v>
      </c>
      <c r="D33" s="140" t="s">
        <v>136</v>
      </c>
      <c r="E33" s="141"/>
      <c r="F33" s="141"/>
      <c r="G33" s="141"/>
      <c r="H33" s="39">
        <f>SUM(H34:H36)</f>
        <v>0</v>
      </c>
      <c r="I33" s="39">
        <f>SUM(I34:I36)</f>
        <v>0</v>
      </c>
      <c r="J33" s="39">
        <f>H33+I33</f>
        <v>0</v>
      </c>
      <c r="K33" s="34"/>
      <c r="L33" s="39">
        <f>SUM(L34:L36)</f>
        <v>1.99555</v>
      </c>
      <c r="P33" s="39">
        <f>IF(Q33="PR",J33,SUM(O34:O36))</f>
        <v>0</v>
      </c>
      <c r="Q33" s="34" t="s">
        <v>73</v>
      </c>
      <c r="R33" s="39">
        <f>IF(Q33="HS",H33,0)</f>
        <v>0</v>
      </c>
      <c r="S33" s="39">
        <f>IF(Q33="HS",I33-P33,0)</f>
        <v>0</v>
      </c>
      <c r="T33" s="39">
        <f>IF(Q33="PS",H33,0)</f>
        <v>0</v>
      </c>
      <c r="U33" s="39">
        <f>IF(Q33="PS",I33-P33,0)</f>
        <v>0</v>
      </c>
      <c r="V33" s="39">
        <f>IF(Q33="MP",H33,0)</f>
        <v>0</v>
      </c>
      <c r="W33" s="39">
        <f>IF(Q33="MP",I33-P33,0)</f>
        <v>0</v>
      </c>
      <c r="X33" s="39">
        <f>IF(Q33="OM",H33,0)</f>
        <v>0</v>
      </c>
      <c r="Y33" s="34"/>
      <c r="AI33" s="39">
        <f>SUM(Z34:Z36)</f>
        <v>0</v>
      </c>
      <c r="AJ33" s="39">
        <f>SUM(AA34:AA36)</f>
        <v>0</v>
      </c>
      <c r="AK33" s="39">
        <f>SUM(AB34:AB36)</f>
        <v>0</v>
      </c>
    </row>
    <row r="34" spans="1:32" ht="12.75">
      <c r="A34" s="22" t="s">
        <v>81</v>
      </c>
      <c r="B34" s="22"/>
      <c r="C34" s="22" t="s">
        <v>138</v>
      </c>
      <c r="D34" s="22" t="s">
        <v>139</v>
      </c>
      <c r="E34" s="22" t="s">
        <v>110</v>
      </c>
      <c r="F34" s="40">
        <v>5</v>
      </c>
      <c r="G34" s="40"/>
      <c r="H34" s="40">
        <f>ROUND(F34*AE34,2)</f>
        <v>0</v>
      </c>
      <c r="I34" s="40">
        <f>J34-H34</f>
        <v>0</v>
      </c>
      <c r="J34" s="40">
        <f>ROUND(F34*G34,2)</f>
        <v>0</v>
      </c>
      <c r="K34" s="40">
        <v>0.31815</v>
      </c>
      <c r="L34" s="40">
        <f>F34*K34</f>
        <v>1.5907499999999999</v>
      </c>
      <c r="N34" s="41" t="s">
        <v>74</v>
      </c>
      <c r="O34" s="40">
        <f>IF(N34="5",I34,0)</f>
        <v>0</v>
      </c>
      <c r="Z34" s="40">
        <f>IF(AD34=0,J34,0)</f>
        <v>0</v>
      </c>
      <c r="AA34" s="40">
        <f>IF(AD34=10,J34,0)</f>
        <v>0</v>
      </c>
      <c r="AB34" s="40">
        <f>IF(AD34=20,J34,0)</f>
        <v>0</v>
      </c>
      <c r="AD34" s="40">
        <v>20</v>
      </c>
      <c r="AE34" s="40">
        <f>G34*0.901381304208159</f>
        <v>0</v>
      </c>
      <c r="AF34" s="40">
        <f>G34*(1-0.901381304208159)</f>
        <v>0</v>
      </c>
    </row>
    <row r="35" spans="1:32" ht="12.75">
      <c r="A35" s="22" t="s">
        <v>92</v>
      </c>
      <c r="B35" s="22"/>
      <c r="C35" s="22" t="s">
        <v>141</v>
      </c>
      <c r="D35" s="22" t="s">
        <v>142</v>
      </c>
      <c r="E35" s="22" t="s">
        <v>110</v>
      </c>
      <c r="F35" s="40">
        <v>5</v>
      </c>
      <c r="G35" s="40"/>
      <c r="H35" s="40">
        <f>ROUND(F35*AE35,2)</f>
        <v>0</v>
      </c>
      <c r="I35" s="40">
        <f>J35-H35</f>
        <v>0</v>
      </c>
      <c r="J35" s="40">
        <f>ROUND(F35*G35,2)</f>
        <v>0</v>
      </c>
      <c r="K35" s="40">
        <v>0.08096</v>
      </c>
      <c r="L35" s="40">
        <f>F35*K35</f>
        <v>0.40480000000000005</v>
      </c>
      <c r="N35" s="41" t="s">
        <v>74</v>
      </c>
      <c r="O35" s="40">
        <f>IF(N35="5",I35,0)</f>
        <v>0</v>
      </c>
      <c r="Z35" s="40">
        <f>IF(AD35=0,J35,0)</f>
        <v>0</v>
      </c>
      <c r="AA35" s="40">
        <f>IF(AD35=10,J35,0)</f>
        <v>0</v>
      </c>
      <c r="AB35" s="40">
        <f>IF(AD35=20,J35,0)</f>
        <v>0</v>
      </c>
      <c r="AD35" s="40">
        <v>20</v>
      </c>
      <c r="AE35" s="40">
        <f>G35*0.731005586592179</f>
        <v>0</v>
      </c>
      <c r="AF35" s="40">
        <f>G35*(1-0.731005586592179)</f>
        <v>0</v>
      </c>
    </row>
    <row r="36" spans="1:32" ht="12.75">
      <c r="A36" s="22" t="s">
        <v>108</v>
      </c>
      <c r="B36" s="22"/>
      <c r="C36" s="22" t="s">
        <v>123</v>
      </c>
      <c r="D36" s="22" t="s">
        <v>124</v>
      </c>
      <c r="E36" s="22" t="s">
        <v>125</v>
      </c>
      <c r="F36" s="40">
        <v>1.99555</v>
      </c>
      <c r="G36" s="40"/>
      <c r="H36" s="40">
        <f>ROUND(F36*AE36,2)</f>
        <v>0</v>
      </c>
      <c r="I36" s="40">
        <f>J36-H36</f>
        <v>0</v>
      </c>
      <c r="J36" s="40">
        <f>ROUND(F36*G36,2)</f>
        <v>0</v>
      </c>
      <c r="K36" s="40">
        <v>0</v>
      </c>
      <c r="L36" s="40">
        <f>F36*K36</f>
        <v>0</v>
      </c>
      <c r="N36" s="41" t="s">
        <v>89</v>
      </c>
      <c r="O36" s="40">
        <f>IF(N36="5",I36,0)</f>
        <v>0</v>
      </c>
      <c r="Z36" s="40">
        <f>IF(AD36=0,J36,0)</f>
        <v>0</v>
      </c>
      <c r="AA36" s="40">
        <f>IF(AD36=10,J36,0)</f>
        <v>0</v>
      </c>
      <c r="AB36" s="40">
        <f>IF(AD36=20,J36,0)</f>
        <v>0</v>
      </c>
      <c r="AD36" s="40">
        <v>20</v>
      </c>
      <c r="AE36" s="40">
        <f>G36*0</f>
        <v>0</v>
      </c>
      <c r="AF36" s="40">
        <f>G36*(1-0)</f>
        <v>0</v>
      </c>
    </row>
    <row r="37" spans="1:37" ht="12.75">
      <c r="A37" s="42"/>
      <c r="B37" s="42"/>
      <c r="C37" s="43" t="s">
        <v>144</v>
      </c>
      <c r="D37" s="140" t="s">
        <v>145</v>
      </c>
      <c r="E37" s="141"/>
      <c r="F37" s="141"/>
      <c r="G37" s="141"/>
      <c r="H37" s="39">
        <f>SUM(H38:H40)</f>
        <v>0</v>
      </c>
      <c r="I37" s="39">
        <f>SUM(I38:I40)</f>
        <v>0</v>
      </c>
      <c r="J37" s="39">
        <f>H37+I37</f>
        <v>0</v>
      </c>
      <c r="K37" s="34"/>
      <c r="L37" s="39">
        <f>SUM(L38:L40)</f>
        <v>0.5015</v>
      </c>
      <c r="P37" s="39">
        <f>IF(Q37="PR",J37,SUM(O38:O40))</f>
        <v>0</v>
      </c>
      <c r="Q37" s="34" t="s">
        <v>73</v>
      </c>
      <c r="R37" s="39">
        <f>IF(Q37="HS",H37,0)</f>
        <v>0</v>
      </c>
      <c r="S37" s="39">
        <f>IF(Q37="HS",I37-P37,0)</f>
        <v>0</v>
      </c>
      <c r="T37" s="39">
        <f>IF(Q37="PS",H37,0)</f>
        <v>0</v>
      </c>
      <c r="U37" s="39">
        <f>IF(Q37="PS",I37-P37,0)</f>
        <v>0</v>
      </c>
      <c r="V37" s="39">
        <f>IF(Q37="MP",H37,0)</f>
        <v>0</v>
      </c>
      <c r="W37" s="39">
        <f>IF(Q37="MP",I37-P37,0)</f>
        <v>0</v>
      </c>
      <c r="X37" s="39">
        <f>IF(Q37="OM",H37,0)</f>
        <v>0</v>
      </c>
      <c r="Y37" s="34"/>
      <c r="AI37" s="39">
        <f>SUM(Z38:Z40)</f>
        <v>0</v>
      </c>
      <c r="AJ37" s="39">
        <f>SUM(AA38:AA40)</f>
        <v>0</v>
      </c>
      <c r="AK37" s="39">
        <f>SUM(AB38:AB40)</f>
        <v>0</v>
      </c>
    </row>
    <row r="38" spans="1:32" ht="12.75">
      <c r="A38" s="22" t="s">
        <v>137</v>
      </c>
      <c r="B38" s="22"/>
      <c r="C38" s="22" t="s">
        <v>147</v>
      </c>
      <c r="D38" s="22" t="s">
        <v>148</v>
      </c>
      <c r="E38" s="22" t="s">
        <v>110</v>
      </c>
      <c r="F38" s="40">
        <v>5</v>
      </c>
      <c r="G38" s="40"/>
      <c r="H38" s="40">
        <f>ROUND(F38*AE38,2)</f>
        <v>0</v>
      </c>
      <c r="I38" s="40">
        <f>J38-H38</f>
        <v>0</v>
      </c>
      <c r="J38" s="40">
        <f>ROUND(F38*G38,2)</f>
        <v>0</v>
      </c>
      <c r="K38" s="40">
        <v>0.0739</v>
      </c>
      <c r="L38" s="40">
        <f>F38*K38</f>
        <v>0.36949999999999994</v>
      </c>
      <c r="N38" s="41" t="s">
        <v>74</v>
      </c>
      <c r="O38" s="40">
        <f>IF(N38="5",I38,0)</f>
        <v>0</v>
      </c>
      <c r="Z38" s="40">
        <f>IF(AD38=0,J38,0)</f>
        <v>0</v>
      </c>
      <c r="AA38" s="40">
        <f>IF(AD38=10,J38,0)</f>
        <v>0</v>
      </c>
      <c r="AB38" s="40">
        <f>IF(AD38=20,J38,0)</f>
        <v>0</v>
      </c>
      <c r="AD38" s="40">
        <v>20</v>
      </c>
      <c r="AE38" s="40">
        <f>G38*0.161407070662488</f>
        <v>0</v>
      </c>
      <c r="AF38" s="40">
        <f>G38*(1-0.161407070662488)</f>
        <v>0</v>
      </c>
    </row>
    <row r="39" spans="1:32" ht="12.75">
      <c r="A39" s="22" t="s">
        <v>140</v>
      </c>
      <c r="B39" s="22"/>
      <c r="C39" s="22" t="s">
        <v>150</v>
      </c>
      <c r="D39" s="22" t="s">
        <v>151</v>
      </c>
      <c r="E39" s="22" t="s">
        <v>110</v>
      </c>
      <c r="F39" s="40">
        <v>1</v>
      </c>
      <c r="G39" s="40"/>
      <c r="H39" s="40">
        <f>ROUND(F39*AE39,2)</f>
        <v>0</v>
      </c>
      <c r="I39" s="40">
        <f>J39-H39</f>
        <v>0</v>
      </c>
      <c r="J39" s="40">
        <f>ROUND(F39*G39,2)</f>
        <v>0</v>
      </c>
      <c r="K39" s="40">
        <v>0.132</v>
      </c>
      <c r="L39" s="40">
        <f>F39*K39</f>
        <v>0.132</v>
      </c>
      <c r="N39" s="41" t="s">
        <v>104</v>
      </c>
      <c r="O39" s="40">
        <f>IF(N39="5",I39,0)</f>
        <v>0</v>
      </c>
      <c r="Z39" s="40">
        <f>IF(AD39=0,J39,0)</f>
        <v>0</v>
      </c>
      <c r="AA39" s="40">
        <f>IF(AD39=10,J39,0)</f>
        <v>0</v>
      </c>
      <c r="AB39" s="40">
        <f>IF(AD39=20,J39,0)</f>
        <v>0</v>
      </c>
      <c r="AD39" s="40">
        <v>20</v>
      </c>
      <c r="AE39" s="40">
        <f>G39*1</f>
        <v>0</v>
      </c>
      <c r="AF39" s="40">
        <f>G39*(1-1)</f>
        <v>0</v>
      </c>
    </row>
    <row r="40" spans="1:32" ht="12.75">
      <c r="A40" s="22" t="s">
        <v>143</v>
      </c>
      <c r="B40" s="22"/>
      <c r="C40" s="22" t="s">
        <v>123</v>
      </c>
      <c r="D40" s="22" t="s">
        <v>124</v>
      </c>
      <c r="E40" s="22" t="s">
        <v>125</v>
      </c>
      <c r="F40" s="40">
        <v>0.50151</v>
      </c>
      <c r="G40" s="40"/>
      <c r="H40" s="40">
        <f>ROUND(F40*AE40,2)</f>
        <v>0</v>
      </c>
      <c r="I40" s="40">
        <f>J40-H40</f>
        <v>0</v>
      </c>
      <c r="J40" s="40">
        <f>ROUND(F40*G40,2)</f>
        <v>0</v>
      </c>
      <c r="K40" s="40">
        <v>0</v>
      </c>
      <c r="L40" s="40">
        <f>F40*K40</f>
        <v>0</v>
      </c>
      <c r="N40" s="41" t="s">
        <v>89</v>
      </c>
      <c r="O40" s="40">
        <f>IF(N40="5",I40,0)</f>
        <v>0</v>
      </c>
      <c r="Z40" s="40">
        <f>IF(AD40=0,J40,0)</f>
        <v>0</v>
      </c>
      <c r="AA40" s="40">
        <f>IF(AD40=10,J40,0)</f>
        <v>0</v>
      </c>
      <c r="AB40" s="40">
        <f>IF(AD40=20,J40,0)</f>
        <v>0</v>
      </c>
      <c r="AD40" s="40">
        <v>20</v>
      </c>
      <c r="AE40" s="40">
        <f>G40*0</f>
        <v>0</v>
      </c>
      <c r="AF40" s="40">
        <f>G40*(1-0)</f>
        <v>0</v>
      </c>
    </row>
    <row r="41" spans="1:37" ht="12.75">
      <c r="A41" s="42"/>
      <c r="B41" s="42"/>
      <c r="C41" s="43" t="s">
        <v>153</v>
      </c>
      <c r="D41" s="140" t="s">
        <v>154</v>
      </c>
      <c r="E41" s="141"/>
      <c r="F41" s="141"/>
      <c r="G41" s="141"/>
      <c r="H41" s="39">
        <f>SUM(H42:H43)</f>
        <v>0</v>
      </c>
      <c r="I41" s="39">
        <f>SUM(I42:I43)</f>
        <v>0</v>
      </c>
      <c r="J41" s="39">
        <f>H41+I41</f>
        <v>0</v>
      </c>
      <c r="K41" s="34"/>
      <c r="L41" s="39">
        <f>SUM(L42:L43)</f>
        <v>0.07837019999999999</v>
      </c>
      <c r="P41" s="39">
        <f>IF(Q41="PR",J41,SUM(O42:O43))</f>
        <v>0</v>
      </c>
      <c r="Q41" s="34" t="s">
        <v>73</v>
      </c>
      <c r="R41" s="39">
        <f>IF(Q41="HS",H41,0)</f>
        <v>0</v>
      </c>
      <c r="S41" s="39">
        <f>IF(Q41="HS",I41-P41,0)</f>
        <v>0</v>
      </c>
      <c r="T41" s="39">
        <f>IF(Q41="PS",H41,0)</f>
        <v>0</v>
      </c>
      <c r="U41" s="39">
        <f>IF(Q41="PS",I41-P41,0)</f>
        <v>0</v>
      </c>
      <c r="V41" s="39">
        <f>IF(Q41="MP",H41,0)</f>
        <v>0</v>
      </c>
      <c r="W41" s="39">
        <f>IF(Q41="MP",I41-P41,0)</f>
        <v>0</v>
      </c>
      <c r="X41" s="39">
        <f>IF(Q41="OM",H41,0)</f>
        <v>0</v>
      </c>
      <c r="Y41" s="34"/>
      <c r="AI41" s="39">
        <f>SUM(Z42:Z43)</f>
        <v>0</v>
      </c>
      <c r="AJ41" s="39">
        <f>SUM(AA42:AA43)</f>
        <v>0</v>
      </c>
      <c r="AK41" s="39">
        <f>SUM(AB42:AB43)</f>
        <v>0</v>
      </c>
    </row>
    <row r="42" spans="1:32" ht="12.75">
      <c r="A42" s="22" t="s">
        <v>146</v>
      </c>
      <c r="B42" s="22"/>
      <c r="C42" s="22" t="s">
        <v>156</v>
      </c>
      <c r="D42" s="22" t="s">
        <v>157</v>
      </c>
      <c r="E42" s="22" t="s">
        <v>110</v>
      </c>
      <c r="F42" s="40">
        <v>2.07</v>
      </c>
      <c r="G42" s="40"/>
      <c r="H42" s="40">
        <f>ROUND(F42*AE42,2)</f>
        <v>0</v>
      </c>
      <c r="I42" s="40">
        <f>J42-H42</f>
        <v>0</v>
      </c>
      <c r="J42" s="40">
        <f>ROUND(F42*G42,2)</f>
        <v>0</v>
      </c>
      <c r="K42" s="40">
        <v>0.03786</v>
      </c>
      <c r="L42" s="40">
        <f>F42*K42</f>
        <v>0.07837019999999999</v>
      </c>
      <c r="N42" s="41" t="s">
        <v>74</v>
      </c>
      <c r="O42" s="40">
        <f>IF(N42="5",I42,0)</f>
        <v>0</v>
      </c>
      <c r="Z42" s="40">
        <f>IF(AD42=0,J42,0)</f>
        <v>0</v>
      </c>
      <c r="AA42" s="40">
        <f>IF(AD42=10,J42,0)</f>
        <v>0</v>
      </c>
      <c r="AB42" s="40">
        <f>IF(AD42=20,J42,0)</f>
        <v>0</v>
      </c>
      <c r="AD42" s="40">
        <v>20</v>
      </c>
      <c r="AE42" s="40">
        <f>G42*0.398904779046809</f>
        <v>0</v>
      </c>
      <c r="AF42" s="40">
        <f>G42*(1-0.398904779046809)</f>
        <v>0</v>
      </c>
    </row>
    <row r="43" spans="1:32" ht="12.75">
      <c r="A43" s="22" t="s">
        <v>149</v>
      </c>
      <c r="B43" s="22"/>
      <c r="C43" s="22" t="s">
        <v>123</v>
      </c>
      <c r="D43" s="22" t="s">
        <v>124</v>
      </c>
      <c r="E43" s="22" t="s">
        <v>125</v>
      </c>
      <c r="F43" s="40">
        <v>0.07837</v>
      </c>
      <c r="G43" s="40"/>
      <c r="H43" s="40">
        <f>ROUND(F43*AE43,2)</f>
        <v>0</v>
      </c>
      <c r="I43" s="40">
        <f>J43-H43</f>
        <v>0</v>
      </c>
      <c r="J43" s="40">
        <f>ROUND(F43*G43,2)</f>
        <v>0</v>
      </c>
      <c r="K43" s="40">
        <v>0</v>
      </c>
      <c r="L43" s="40">
        <f>F43*K43</f>
        <v>0</v>
      </c>
      <c r="N43" s="41" t="s">
        <v>89</v>
      </c>
      <c r="O43" s="40">
        <f>IF(N43="5",I43,0)</f>
        <v>0</v>
      </c>
      <c r="Z43" s="40">
        <f>IF(AD43=0,J43,0)</f>
        <v>0</v>
      </c>
      <c r="AA43" s="40">
        <f>IF(AD43=10,J43,0)</f>
        <v>0</v>
      </c>
      <c r="AB43" s="40">
        <f>IF(AD43=20,J43,0)</f>
        <v>0</v>
      </c>
      <c r="AD43" s="40">
        <v>20</v>
      </c>
      <c r="AE43" s="40">
        <f>G43*0</f>
        <v>0</v>
      </c>
      <c r="AF43" s="40">
        <f>G43*(1-0)</f>
        <v>0</v>
      </c>
    </row>
    <row r="44" spans="1:37" ht="12.75">
      <c r="A44" s="42"/>
      <c r="B44" s="42"/>
      <c r="C44" s="43" t="s">
        <v>289</v>
      </c>
      <c r="D44" s="140" t="s">
        <v>290</v>
      </c>
      <c r="E44" s="141"/>
      <c r="F44" s="141"/>
      <c r="G44" s="141"/>
      <c r="H44" s="39">
        <f>SUM(H45:H45)</f>
        <v>0</v>
      </c>
      <c r="I44" s="39">
        <f>SUM(I45:I45)</f>
        <v>0</v>
      </c>
      <c r="J44" s="39">
        <f>H44+I44</f>
        <v>0</v>
      </c>
      <c r="K44" s="34"/>
      <c r="L44" s="39">
        <f>SUM(L45:L45)</f>
        <v>0.42667450000000007</v>
      </c>
      <c r="P44" s="39">
        <f>IF(Q44="PR",J44,SUM(O45:O45))</f>
        <v>0</v>
      </c>
      <c r="Q44" s="34" t="s">
        <v>73</v>
      </c>
      <c r="R44" s="39">
        <f>IF(Q44="HS",H44,0)</f>
        <v>0</v>
      </c>
      <c r="S44" s="39">
        <f>IF(Q44="HS",I44-P44,0)</f>
        <v>0</v>
      </c>
      <c r="T44" s="39">
        <f>IF(Q44="PS",H44,0)</f>
        <v>0</v>
      </c>
      <c r="U44" s="39">
        <f>IF(Q44="PS",I44-P44,0)</f>
        <v>0</v>
      </c>
      <c r="V44" s="39">
        <f>IF(Q44="MP",H44,0)</f>
        <v>0</v>
      </c>
      <c r="W44" s="39">
        <f>IF(Q44="MP",I44-P44,0)</f>
        <v>0</v>
      </c>
      <c r="X44" s="39">
        <f>IF(Q44="OM",H44,0)</f>
        <v>0</v>
      </c>
      <c r="Y44" s="34"/>
      <c r="AI44" s="39">
        <f>SUM(Z45:Z45)</f>
        <v>0</v>
      </c>
      <c r="AJ44" s="39">
        <f>SUM(AA45:AA45)</f>
        <v>0</v>
      </c>
      <c r="AK44" s="39">
        <f>SUM(AB45:AB45)</f>
        <v>0</v>
      </c>
    </row>
    <row r="45" spans="1:32" ht="12.75">
      <c r="A45" s="22" t="s">
        <v>152</v>
      </c>
      <c r="B45" s="22"/>
      <c r="C45" s="22" t="s">
        <v>291</v>
      </c>
      <c r="D45" s="22" t="s">
        <v>292</v>
      </c>
      <c r="E45" s="22" t="s">
        <v>77</v>
      </c>
      <c r="F45" s="40">
        <v>0.17</v>
      </c>
      <c r="G45" s="40"/>
      <c r="H45" s="40">
        <f>ROUND(F45*AE45,2)</f>
        <v>0</v>
      </c>
      <c r="I45" s="40">
        <f>J45-H45</f>
        <v>0</v>
      </c>
      <c r="J45" s="40">
        <f>ROUND(F45*G45,2)</f>
        <v>0</v>
      </c>
      <c r="K45" s="40">
        <v>2.50985</v>
      </c>
      <c r="L45" s="40">
        <f>F45*K45</f>
        <v>0.42667450000000007</v>
      </c>
      <c r="N45" s="41" t="s">
        <v>74</v>
      </c>
      <c r="O45" s="40">
        <f>IF(N45="5",I45,0)</f>
        <v>0</v>
      </c>
      <c r="Z45" s="40">
        <f>IF(AD45=0,J45,0)</f>
        <v>0</v>
      </c>
      <c r="AA45" s="40">
        <f>IF(AD45=10,J45,0)</f>
        <v>0</v>
      </c>
      <c r="AB45" s="40">
        <f>IF(AD45=20,J45,0)</f>
        <v>0</v>
      </c>
      <c r="AD45" s="40">
        <v>20</v>
      </c>
      <c r="AE45" s="40">
        <f>G45*0.729422534887765</f>
        <v>0</v>
      </c>
      <c r="AF45" s="40">
        <f>G45*(1-0.729422534887765)</f>
        <v>0</v>
      </c>
    </row>
    <row r="46" spans="1:37" ht="12.75">
      <c r="A46" s="42"/>
      <c r="B46" s="42"/>
      <c r="C46" s="43" t="s">
        <v>159</v>
      </c>
      <c r="D46" s="140" t="s">
        <v>160</v>
      </c>
      <c r="E46" s="141"/>
      <c r="F46" s="141"/>
      <c r="G46" s="141"/>
      <c r="H46" s="39">
        <f>SUM(H47:H49)</f>
        <v>0</v>
      </c>
      <c r="I46" s="39">
        <f>SUM(I47:I49)</f>
        <v>0</v>
      </c>
      <c r="J46" s="39">
        <f>H46+I46</f>
        <v>0</v>
      </c>
      <c r="K46" s="34"/>
      <c r="L46" s="39">
        <f>SUM(L47:L49)</f>
        <v>0.062194400000000004</v>
      </c>
      <c r="P46" s="39">
        <f>IF(Q46="PR",J46,SUM(O47:O49))</f>
        <v>0</v>
      </c>
      <c r="Q46" s="34" t="s">
        <v>161</v>
      </c>
      <c r="R46" s="39">
        <f>IF(Q46="HS",H46,0)</f>
        <v>0</v>
      </c>
      <c r="S46" s="39">
        <f>IF(Q46="HS",I46-P46,0)</f>
        <v>0</v>
      </c>
      <c r="T46" s="39">
        <f>IF(Q46="PS",H46,0)</f>
        <v>0</v>
      </c>
      <c r="U46" s="39">
        <f>IF(Q46="PS",I46-P46,0)</f>
        <v>0</v>
      </c>
      <c r="V46" s="39">
        <f>IF(Q46="MP",H46,0)</f>
        <v>0</v>
      </c>
      <c r="W46" s="39">
        <f>IF(Q46="MP",I46-P46,0)</f>
        <v>0</v>
      </c>
      <c r="X46" s="39">
        <f>IF(Q46="OM",H46,0)</f>
        <v>0</v>
      </c>
      <c r="Y46" s="34"/>
      <c r="AI46" s="39">
        <f>SUM(Z47:Z49)</f>
        <v>0</v>
      </c>
      <c r="AJ46" s="39">
        <f>SUM(AA47:AA49)</f>
        <v>0</v>
      </c>
      <c r="AK46" s="39">
        <f>SUM(AB47:AB49)</f>
        <v>0</v>
      </c>
    </row>
    <row r="47" spans="1:32" ht="12.75">
      <c r="A47" s="22" t="s">
        <v>155</v>
      </c>
      <c r="B47" s="22"/>
      <c r="C47" s="22" t="s">
        <v>162</v>
      </c>
      <c r="D47" s="22" t="s">
        <v>163</v>
      </c>
      <c r="E47" s="22" t="s">
        <v>110</v>
      </c>
      <c r="F47" s="40">
        <v>11.68</v>
      </c>
      <c r="G47" s="40"/>
      <c r="H47" s="40">
        <f>ROUND(F47*AE47,2)</f>
        <v>0</v>
      </c>
      <c r="I47" s="40">
        <f>J47-H47</f>
        <v>0</v>
      </c>
      <c r="J47" s="40">
        <f>ROUND(F47*G47,2)</f>
        <v>0</v>
      </c>
      <c r="K47" s="40">
        <v>0.005</v>
      </c>
      <c r="L47" s="40">
        <f>F47*K47</f>
        <v>0.0584</v>
      </c>
      <c r="N47" s="41" t="s">
        <v>74</v>
      </c>
      <c r="O47" s="40">
        <f>IF(N47="5",I47,0)</f>
        <v>0</v>
      </c>
      <c r="Z47" s="40">
        <f>IF(AD47=0,J47,0)</f>
        <v>0</v>
      </c>
      <c r="AA47" s="40">
        <f>IF(AD47=10,J47,0)</f>
        <v>0</v>
      </c>
      <c r="AB47" s="40">
        <f>IF(AD47=20,J47,0)</f>
        <v>0</v>
      </c>
      <c r="AD47" s="40">
        <v>20</v>
      </c>
      <c r="AE47" s="40">
        <f>G47*0.739915512641342</f>
        <v>0</v>
      </c>
      <c r="AF47" s="40">
        <f>G47*(1-0.739915512641342)</f>
        <v>0</v>
      </c>
    </row>
    <row r="48" spans="1:32" ht="12.75">
      <c r="A48" s="22" t="s">
        <v>158</v>
      </c>
      <c r="B48" s="22"/>
      <c r="C48" s="22" t="s">
        <v>165</v>
      </c>
      <c r="D48" s="22" t="s">
        <v>166</v>
      </c>
      <c r="E48" s="22" t="s">
        <v>110</v>
      </c>
      <c r="F48" s="40">
        <v>5.58</v>
      </c>
      <c r="G48" s="40"/>
      <c r="H48" s="40">
        <f>ROUND(F48*AE48,2)</f>
        <v>0</v>
      </c>
      <c r="I48" s="40">
        <f>J48-H48</f>
        <v>0</v>
      </c>
      <c r="J48" s="40">
        <f>ROUND(F48*G48,2)</f>
        <v>0</v>
      </c>
      <c r="K48" s="40">
        <v>0.00068</v>
      </c>
      <c r="L48" s="40">
        <f>F48*K48</f>
        <v>0.0037944000000000003</v>
      </c>
      <c r="N48" s="41" t="s">
        <v>74</v>
      </c>
      <c r="O48" s="40">
        <f>IF(N48="5",I48,0)</f>
        <v>0</v>
      </c>
      <c r="Z48" s="40">
        <f>IF(AD48=0,J48,0)</f>
        <v>0</v>
      </c>
      <c r="AA48" s="40">
        <f>IF(AD48=10,J48,0)</f>
        <v>0</v>
      </c>
      <c r="AB48" s="40">
        <f>IF(AD48=20,J48,0)</f>
        <v>0</v>
      </c>
      <c r="AD48" s="40">
        <v>20</v>
      </c>
      <c r="AE48" s="40">
        <f>G48*0.574313949368085</f>
        <v>0</v>
      </c>
      <c r="AF48" s="40">
        <f>G48*(1-0.574313949368085)</f>
        <v>0</v>
      </c>
    </row>
    <row r="49" spans="1:32" ht="12.75">
      <c r="A49" s="22" t="s">
        <v>113</v>
      </c>
      <c r="B49" s="22"/>
      <c r="C49" s="22" t="s">
        <v>123</v>
      </c>
      <c r="D49" s="22" t="s">
        <v>124</v>
      </c>
      <c r="E49" s="22" t="s">
        <v>125</v>
      </c>
      <c r="F49" s="40">
        <v>0.06219</v>
      </c>
      <c r="G49" s="40"/>
      <c r="H49" s="40">
        <f>ROUND(F49*AE49,2)</f>
        <v>0</v>
      </c>
      <c r="I49" s="40">
        <f>J49-H49</f>
        <v>0</v>
      </c>
      <c r="J49" s="40">
        <f>ROUND(F49*G49,2)</f>
        <v>0</v>
      </c>
      <c r="K49" s="40">
        <v>0</v>
      </c>
      <c r="L49" s="40">
        <f>F49*K49</f>
        <v>0</v>
      </c>
      <c r="N49" s="41" t="s">
        <v>89</v>
      </c>
      <c r="O49" s="40">
        <f>IF(N49="5",I49,0)</f>
        <v>0</v>
      </c>
      <c r="Z49" s="40">
        <f>IF(AD49=0,J49,0)</f>
        <v>0</v>
      </c>
      <c r="AA49" s="40">
        <f>IF(AD49=10,J49,0)</f>
        <v>0</v>
      </c>
      <c r="AB49" s="40">
        <f>IF(AD49=20,J49,0)</f>
        <v>0</v>
      </c>
      <c r="AD49" s="40">
        <v>20</v>
      </c>
      <c r="AE49" s="40">
        <f>G49*0</f>
        <v>0</v>
      </c>
      <c r="AF49" s="40">
        <f>G49*(1-0)</f>
        <v>0</v>
      </c>
    </row>
    <row r="50" spans="1:37" ht="12.75">
      <c r="A50" s="42"/>
      <c r="B50" s="42"/>
      <c r="C50" s="43" t="s">
        <v>168</v>
      </c>
      <c r="D50" s="140" t="s">
        <v>169</v>
      </c>
      <c r="E50" s="141"/>
      <c r="F50" s="141"/>
      <c r="G50" s="141"/>
      <c r="H50" s="39">
        <f>SUM(H51:H52)</f>
        <v>0</v>
      </c>
      <c r="I50" s="39">
        <f>SUM(I51:I52)</f>
        <v>0</v>
      </c>
      <c r="J50" s="39">
        <f>H50+I50</f>
        <v>0</v>
      </c>
      <c r="K50" s="34"/>
      <c r="L50" s="39">
        <f>SUM(L51:L52)</f>
        <v>0.007322400000000001</v>
      </c>
      <c r="P50" s="39">
        <f>IF(Q50="PR",J50,SUM(O51:O52))</f>
        <v>0</v>
      </c>
      <c r="Q50" s="34" t="s">
        <v>161</v>
      </c>
      <c r="R50" s="39">
        <f>IF(Q50="HS",H50,0)</f>
        <v>0</v>
      </c>
      <c r="S50" s="39">
        <f>IF(Q50="HS",I50-P50,0)</f>
        <v>0</v>
      </c>
      <c r="T50" s="39">
        <f>IF(Q50="PS",H50,0)</f>
        <v>0</v>
      </c>
      <c r="U50" s="39">
        <f>IF(Q50="PS",I50-P50,0)</f>
        <v>0</v>
      </c>
      <c r="V50" s="39">
        <f>IF(Q50="MP",H50,0)</f>
        <v>0</v>
      </c>
      <c r="W50" s="39">
        <f>IF(Q50="MP",I50-P50,0)</f>
        <v>0</v>
      </c>
      <c r="X50" s="39">
        <f>IF(Q50="OM",H50,0)</f>
        <v>0</v>
      </c>
      <c r="Y50" s="34"/>
      <c r="AI50" s="39">
        <f>SUM(Z51:Z52)</f>
        <v>0</v>
      </c>
      <c r="AJ50" s="39">
        <f>SUM(AA51:AA52)</f>
        <v>0</v>
      </c>
      <c r="AK50" s="39">
        <f>SUM(AB51:AB52)</f>
        <v>0</v>
      </c>
    </row>
    <row r="51" spans="1:32" ht="12.75">
      <c r="A51" s="22" t="s">
        <v>164</v>
      </c>
      <c r="B51" s="22"/>
      <c r="C51" s="22" t="s">
        <v>171</v>
      </c>
      <c r="D51" s="22" t="s">
        <v>172</v>
      </c>
      <c r="E51" s="22" t="s">
        <v>110</v>
      </c>
      <c r="F51" s="40">
        <v>10.17</v>
      </c>
      <c r="G51" s="40"/>
      <c r="H51" s="40">
        <f>ROUND(F51*AE51,2)</f>
        <v>0</v>
      </c>
      <c r="I51" s="40">
        <f>J51-H51</f>
        <v>0</v>
      </c>
      <c r="J51" s="40">
        <f>ROUND(F51*G51,2)</f>
        <v>0</v>
      </c>
      <c r="K51" s="40">
        <v>0.00072</v>
      </c>
      <c r="L51" s="40">
        <f>F51*K51</f>
        <v>0.007322400000000001</v>
      </c>
      <c r="N51" s="41" t="s">
        <v>83</v>
      </c>
      <c r="O51" s="40">
        <f>IF(N51="5",I51,0)</f>
        <v>0</v>
      </c>
      <c r="Z51" s="40">
        <f>IF(AD51=0,J51,0)</f>
        <v>0</v>
      </c>
      <c r="AA51" s="40">
        <f>IF(AD51=10,J51,0)</f>
        <v>0</v>
      </c>
      <c r="AB51" s="40">
        <f>IF(AD51=20,J51,0)</f>
        <v>0</v>
      </c>
      <c r="AD51" s="40">
        <v>20</v>
      </c>
      <c r="AE51" s="40">
        <f>G51*0.64589477690039</f>
        <v>0</v>
      </c>
      <c r="AF51" s="40">
        <f>G51*(1-0.64589477690039)</f>
        <v>0</v>
      </c>
    </row>
    <row r="52" spans="1:32" ht="12.75">
      <c r="A52" s="22" t="s">
        <v>167</v>
      </c>
      <c r="B52" s="22"/>
      <c r="C52" s="22" t="s">
        <v>123</v>
      </c>
      <c r="D52" s="22" t="s">
        <v>124</v>
      </c>
      <c r="E52" s="22" t="s">
        <v>125</v>
      </c>
      <c r="F52" s="40">
        <v>0.00732</v>
      </c>
      <c r="G52" s="40"/>
      <c r="H52" s="40">
        <f>ROUND(F52*AE52,2)</f>
        <v>0</v>
      </c>
      <c r="I52" s="40">
        <f>J52-H52</f>
        <v>0</v>
      </c>
      <c r="J52" s="40">
        <f>ROUND(F52*G52,2)</f>
        <v>0</v>
      </c>
      <c r="K52" s="40">
        <v>0</v>
      </c>
      <c r="L52" s="40">
        <f>F52*K52</f>
        <v>0</v>
      </c>
      <c r="N52" s="41" t="s">
        <v>89</v>
      </c>
      <c r="O52" s="40">
        <f>IF(N52="5",I52,0)</f>
        <v>0</v>
      </c>
      <c r="Z52" s="40">
        <f>IF(AD52=0,J52,0)</f>
        <v>0</v>
      </c>
      <c r="AA52" s="40">
        <f>IF(AD52=10,J52,0)</f>
        <v>0</v>
      </c>
      <c r="AB52" s="40">
        <f>IF(AD52=20,J52,0)</f>
        <v>0</v>
      </c>
      <c r="AD52" s="40">
        <v>20</v>
      </c>
      <c r="AE52" s="40">
        <f>G52*0</f>
        <v>0</v>
      </c>
      <c r="AF52" s="40">
        <f>G52*(1-0)</f>
        <v>0</v>
      </c>
    </row>
    <row r="53" spans="1:37" ht="12.75">
      <c r="A53" s="42"/>
      <c r="B53" s="42"/>
      <c r="C53" s="43" t="s">
        <v>173</v>
      </c>
      <c r="D53" s="140" t="s">
        <v>174</v>
      </c>
      <c r="E53" s="141"/>
      <c r="F53" s="141"/>
      <c r="G53" s="141"/>
      <c r="H53" s="39">
        <f>SUM(H54:H58)</f>
        <v>0</v>
      </c>
      <c r="I53" s="39">
        <f>SUM(I54:I58)</f>
        <v>0</v>
      </c>
      <c r="J53" s="39">
        <f>H53+I53</f>
        <v>0</v>
      </c>
      <c r="K53" s="34"/>
      <c r="L53" s="39">
        <f>SUM(L54:L58)</f>
        <v>4.049276</v>
      </c>
      <c r="P53" s="39">
        <f>IF(Q53="PR",J53,SUM(O54:O58))</f>
        <v>0</v>
      </c>
      <c r="Q53" s="34" t="s">
        <v>161</v>
      </c>
      <c r="R53" s="39">
        <f>IF(Q53="HS",H53,0)</f>
        <v>0</v>
      </c>
      <c r="S53" s="39">
        <f>IF(Q53="HS",I53-P53,0)</f>
        <v>0</v>
      </c>
      <c r="T53" s="39">
        <f>IF(Q53="PS",H53,0)</f>
        <v>0</v>
      </c>
      <c r="U53" s="39">
        <f>IF(Q53="PS",I53-P53,0)</f>
        <v>0</v>
      </c>
      <c r="V53" s="39">
        <f>IF(Q53="MP",H53,0)</f>
        <v>0</v>
      </c>
      <c r="W53" s="39">
        <f>IF(Q53="MP",I53-P53,0)</f>
        <v>0</v>
      </c>
      <c r="X53" s="39">
        <f>IF(Q53="OM",H53,0)</f>
        <v>0</v>
      </c>
      <c r="Y53" s="34"/>
      <c r="AI53" s="39">
        <f>SUM(Z54:Z58)</f>
        <v>0</v>
      </c>
      <c r="AJ53" s="39">
        <f>SUM(AA54:AA58)</f>
        <v>0</v>
      </c>
      <c r="AK53" s="39">
        <f>SUM(AB54:AB58)</f>
        <v>0</v>
      </c>
    </row>
    <row r="54" spans="1:32" ht="12.75">
      <c r="A54" s="22" t="s">
        <v>170</v>
      </c>
      <c r="B54" s="22"/>
      <c r="C54" s="22" t="s">
        <v>176</v>
      </c>
      <c r="D54" s="22" t="s">
        <v>177</v>
      </c>
      <c r="E54" s="22" t="s">
        <v>178</v>
      </c>
      <c r="F54" s="40">
        <v>12.6</v>
      </c>
      <c r="G54" s="40"/>
      <c r="H54" s="40">
        <f>ROUND(F54*AE54,2)</f>
        <v>0</v>
      </c>
      <c r="I54" s="40">
        <f>J54-H54</f>
        <v>0</v>
      </c>
      <c r="J54" s="40">
        <f>ROUND(F54*G54,2)</f>
        <v>0</v>
      </c>
      <c r="K54" s="40">
        <v>0.00526</v>
      </c>
      <c r="L54" s="40">
        <f>F54*K54</f>
        <v>0.066276</v>
      </c>
      <c r="N54" s="41" t="s">
        <v>74</v>
      </c>
      <c r="O54" s="40">
        <f>IF(N54="5",I54,0)</f>
        <v>0</v>
      </c>
      <c r="Z54" s="40">
        <f>IF(AD54=0,J54,0)</f>
        <v>0</v>
      </c>
      <c r="AA54" s="40">
        <f>IF(AD54=10,J54,0)</f>
        <v>0</v>
      </c>
      <c r="AB54" s="40">
        <f>IF(AD54=20,J54,0)</f>
        <v>0</v>
      </c>
      <c r="AD54" s="40">
        <v>20</v>
      </c>
      <c r="AE54" s="40">
        <f>G54*0.0373822442661696</f>
        <v>0</v>
      </c>
      <c r="AF54" s="40">
        <f>G54*(1-0.0373822442661696)</f>
        <v>0</v>
      </c>
    </row>
    <row r="55" spans="1:32" ht="12.75">
      <c r="A55" s="22" t="s">
        <v>126</v>
      </c>
      <c r="B55" s="22"/>
      <c r="C55" s="22" t="s">
        <v>293</v>
      </c>
      <c r="D55" s="22" t="s">
        <v>294</v>
      </c>
      <c r="E55" s="22" t="s">
        <v>103</v>
      </c>
      <c r="F55" s="40">
        <v>3.98</v>
      </c>
      <c r="G55" s="40"/>
      <c r="H55" s="40">
        <f>ROUND(F55*AE55,2)</f>
        <v>0</v>
      </c>
      <c r="I55" s="40">
        <f>J55-H55</f>
        <v>0</v>
      </c>
      <c r="J55" s="40">
        <f>ROUND(F55*G55,2)</f>
        <v>0</v>
      </c>
      <c r="K55" s="40">
        <v>1</v>
      </c>
      <c r="L55" s="40">
        <f>F55*K55</f>
        <v>3.98</v>
      </c>
      <c r="N55" s="41" t="s">
        <v>104</v>
      </c>
      <c r="O55" s="40">
        <f>IF(N55="5",I55,0)</f>
        <v>0</v>
      </c>
      <c r="Z55" s="40">
        <f>IF(AD55=0,J55,0)</f>
        <v>0</v>
      </c>
      <c r="AA55" s="40">
        <f>IF(AD55=10,J55,0)</f>
        <v>0</v>
      </c>
      <c r="AB55" s="40">
        <f>IF(AD55=20,J55,0)</f>
        <v>0</v>
      </c>
      <c r="AD55" s="40">
        <v>20</v>
      </c>
      <c r="AE55" s="40">
        <f>G55*1</f>
        <v>0</v>
      </c>
      <c r="AF55" s="40">
        <f>G55*(1-1)</f>
        <v>0</v>
      </c>
    </row>
    <row r="56" spans="1:32" ht="12.75">
      <c r="A56" s="22" t="s">
        <v>175</v>
      </c>
      <c r="B56" s="22"/>
      <c r="C56" s="22" t="s">
        <v>295</v>
      </c>
      <c r="D56" s="22" t="s">
        <v>296</v>
      </c>
      <c r="E56" s="22" t="s">
        <v>134</v>
      </c>
      <c r="F56" s="40">
        <v>15</v>
      </c>
      <c r="G56" s="40"/>
      <c r="H56" s="40">
        <f>ROUND(F56*AE56,2)</f>
        <v>0</v>
      </c>
      <c r="I56" s="40">
        <f>J56-H56</f>
        <v>0</v>
      </c>
      <c r="J56" s="40">
        <f>ROUND(F56*G56,2)</f>
        <v>0</v>
      </c>
      <c r="K56" s="40">
        <v>0.0002</v>
      </c>
      <c r="L56" s="40">
        <f>F56*K56</f>
        <v>0.003</v>
      </c>
      <c r="N56" s="41" t="s">
        <v>74</v>
      </c>
      <c r="O56" s="40">
        <f>IF(N56="5",I56,0)</f>
        <v>0</v>
      </c>
      <c r="Z56" s="40">
        <f>IF(AD56=0,J56,0)</f>
        <v>0</v>
      </c>
      <c r="AA56" s="40">
        <f>IF(AD56=10,J56,0)</f>
        <v>0</v>
      </c>
      <c r="AB56" s="40">
        <f>IF(AD56=20,J56,0)</f>
        <v>0</v>
      </c>
      <c r="AD56" s="40">
        <v>20</v>
      </c>
      <c r="AE56" s="40">
        <f>G56*0.87542556204318</f>
        <v>0</v>
      </c>
      <c r="AF56" s="40">
        <f>G56*(1-0.87542556204318)</f>
        <v>0</v>
      </c>
    </row>
    <row r="57" spans="1:32" ht="12.75">
      <c r="A57" s="22" t="s">
        <v>179</v>
      </c>
      <c r="B57" s="22"/>
      <c r="C57" s="22" t="s">
        <v>180</v>
      </c>
      <c r="D57" s="22" t="s">
        <v>181</v>
      </c>
      <c r="E57" s="22" t="s">
        <v>178</v>
      </c>
      <c r="F57" s="40">
        <v>19.8</v>
      </c>
      <c r="G57" s="40"/>
      <c r="H57" s="40">
        <f>ROUND(F57*AE57,2)</f>
        <v>0</v>
      </c>
      <c r="I57" s="40">
        <f>J57-H57</f>
        <v>0</v>
      </c>
      <c r="J57" s="40">
        <f>ROUND(F57*G57,2)</f>
        <v>0</v>
      </c>
      <c r="K57" s="40">
        <v>0</v>
      </c>
      <c r="L57" s="40">
        <f>F57*K57</f>
        <v>0</v>
      </c>
      <c r="N57" s="41" t="s">
        <v>74</v>
      </c>
      <c r="O57" s="40">
        <f>IF(N57="5",I57,0)</f>
        <v>0</v>
      </c>
      <c r="Z57" s="40">
        <f>IF(AD57=0,J57,0)</f>
        <v>0</v>
      </c>
      <c r="AA57" s="40">
        <f>IF(AD57=10,J57,0)</f>
        <v>0</v>
      </c>
      <c r="AB57" s="40">
        <f>IF(AD57=20,J57,0)</f>
        <v>0</v>
      </c>
      <c r="AD57" s="40">
        <v>20</v>
      </c>
      <c r="AE57" s="40">
        <f>G57*0.125464755114219</f>
        <v>0</v>
      </c>
      <c r="AF57" s="40">
        <f>G57*(1-0.125464755114219)</f>
        <v>0</v>
      </c>
    </row>
    <row r="58" spans="1:32" ht="12.75">
      <c r="A58" s="22" t="s">
        <v>182</v>
      </c>
      <c r="B58" s="22"/>
      <c r="C58" s="22" t="s">
        <v>123</v>
      </c>
      <c r="D58" s="22" t="s">
        <v>124</v>
      </c>
      <c r="E58" s="22" t="s">
        <v>125</v>
      </c>
      <c r="F58" s="40">
        <v>4.0493</v>
      </c>
      <c r="G58" s="40"/>
      <c r="H58" s="40">
        <f>ROUND(F58*AE58,2)</f>
        <v>0</v>
      </c>
      <c r="I58" s="40">
        <f>J58-H58</f>
        <v>0</v>
      </c>
      <c r="J58" s="40">
        <f>ROUND(F58*G58,2)</f>
        <v>0</v>
      </c>
      <c r="K58" s="40">
        <v>0</v>
      </c>
      <c r="L58" s="40">
        <f>F58*K58</f>
        <v>0</v>
      </c>
      <c r="N58" s="41" t="s">
        <v>89</v>
      </c>
      <c r="O58" s="40">
        <f>IF(N58="5",I58,0)</f>
        <v>0</v>
      </c>
      <c r="Z58" s="40">
        <f>IF(AD58=0,J58,0)</f>
        <v>0</v>
      </c>
      <c r="AA58" s="40">
        <f>IF(AD58=10,J58,0)</f>
        <v>0</v>
      </c>
      <c r="AB58" s="40">
        <f>IF(AD58=20,J58,0)</f>
        <v>0</v>
      </c>
      <c r="AD58" s="40">
        <v>20</v>
      </c>
      <c r="AE58" s="40">
        <f>G58*0</f>
        <v>0</v>
      </c>
      <c r="AF58" s="40">
        <f>G58*(1-0)</f>
        <v>0</v>
      </c>
    </row>
    <row r="59" spans="1:37" ht="12.75">
      <c r="A59" s="42"/>
      <c r="B59" s="42"/>
      <c r="C59" s="43" t="s">
        <v>183</v>
      </c>
      <c r="D59" s="140" t="s">
        <v>184</v>
      </c>
      <c r="E59" s="141"/>
      <c r="F59" s="141"/>
      <c r="G59" s="141"/>
      <c r="H59" s="39">
        <f>SUM(H60:H61)</f>
        <v>0</v>
      </c>
      <c r="I59" s="39">
        <f>SUM(I60:I61)</f>
        <v>0</v>
      </c>
      <c r="J59" s="39">
        <f>H59+I59</f>
        <v>0</v>
      </c>
      <c r="K59" s="34"/>
      <c r="L59" s="39">
        <f>SUM(L60:L61)</f>
        <v>0.004875999999999999</v>
      </c>
      <c r="P59" s="39">
        <f>IF(Q59="PR",J59,SUM(O60:O61))</f>
        <v>0</v>
      </c>
      <c r="Q59" s="34" t="s">
        <v>161</v>
      </c>
      <c r="R59" s="39">
        <f>IF(Q59="HS",H59,0)</f>
        <v>0</v>
      </c>
      <c r="S59" s="39">
        <f>IF(Q59="HS",I59-P59,0)</f>
        <v>0</v>
      </c>
      <c r="T59" s="39">
        <f>IF(Q59="PS",H59,0)</f>
        <v>0</v>
      </c>
      <c r="U59" s="39">
        <f>IF(Q59="PS",I59-P59,0)</f>
        <v>0</v>
      </c>
      <c r="V59" s="39">
        <f>IF(Q59="MP",H59,0)</f>
        <v>0</v>
      </c>
      <c r="W59" s="39">
        <f>IF(Q59="MP",I59-P59,0)</f>
        <v>0</v>
      </c>
      <c r="X59" s="39">
        <f>IF(Q59="OM",H59,0)</f>
        <v>0</v>
      </c>
      <c r="Y59" s="34"/>
      <c r="AI59" s="39">
        <f>SUM(Z60:Z61)</f>
        <v>0</v>
      </c>
      <c r="AJ59" s="39">
        <f>SUM(AA60:AA61)</f>
        <v>0</v>
      </c>
      <c r="AK59" s="39">
        <f>SUM(AB60:AB61)</f>
        <v>0</v>
      </c>
    </row>
    <row r="60" spans="1:32" ht="12.75">
      <c r="A60" s="22" t="s">
        <v>185</v>
      </c>
      <c r="B60" s="22"/>
      <c r="C60" s="22" t="s">
        <v>186</v>
      </c>
      <c r="D60" s="22" t="s">
        <v>297</v>
      </c>
      <c r="E60" s="22" t="s">
        <v>110</v>
      </c>
      <c r="F60" s="40">
        <v>4.6</v>
      </c>
      <c r="G60" s="40"/>
      <c r="H60" s="40">
        <f>ROUND(F60*AE60,2)</f>
        <v>0</v>
      </c>
      <c r="I60" s="40">
        <f>J60-H60</f>
        <v>0</v>
      </c>
      <c r="J60" s="40">
        <f>ROUND(F60*G60,2)</f>
        <v>0</v>
      </c>
      <c r="K60" s="40">
        <v>0.00106</v>
      </c>
      <c r="L60" s="40">
        <f>F60*K60</f>
        <v>0.004875999999999999</v>
      </c>
      <c r="N60" s="41" t="s">
        <v>83</v>
      </c>
      <c r="O60" s="40">
        <f>IF(N60="5",I60,0)</f>
        <v>0</v>
      </c>
      <c r="Z60" s="40">
        <f>IF(AD60=0,J60,0)</f>
        <v>0</v>
      </c>
      <c r="AA60" s="40">
        <f>IF(AD60=10,J60,0)</f>
        <v>0</v>
      </c>
      <c r="AB60" s="40">
        <f>IF(AD60=20,J60,0)</f>
        <v>0</v>
      </c>
      <c r="AD60" s="40">
        <v>20</v>
      </c>
      <c r="AE60" s="40">
        <f>G60*0.0478890295590907</f>
        <v>0</v>
      </c>
      <c r="AF60" s="40">
        <f>G60*(1-0.0478890295590907)</f>
        <v>0</v>
      </c>
    </row>
    <row r="61" spans="1:32" ht="12.75">
      <c r="A61" s="22" t="s">
        <v>187</v>
      </c>
      <c r="B61" s="22"/>
      <c r="C61" s="22" t="s">
        <v>123</v>
      </c>
      <c r="D61" s="22" t="s">
        <v>124</v>
      </c>
      <c r="E61" s="22" t="s">
        <v>125</v>
      </c>
      <c r="F61" s="40">
        <v>0.00488</v>
      </c>
      <c r="G61" s="40"/>
      <c r="H61" s="40">
        <f>ROUND(F61*AE61,2)</f>
        <v>0</v>
      </c>
      <c r="I61" s="40">
        <f>J61-H61</f>
        <v>0</v>
      </c>
      <c r="J61" s="40">
        <f>ROUND(F61*G61,2)</f>
        <v>0</v>
      </c>
      <c r="K61" s="40">
        <v>0</v>
      </c>
      <c r="L61" s="40">
        <f>F61*K61</f>
        <v>0</v>
      </c>
      <c r="N61" s="41" t="s">
        <v>89</v>
      </c>
      <c r="O61" s="40">
        <f>IF(N61="5",I61,0)</f>
        <v>0</v>
      </c>
      <c r="Z61" s="40">
        <f>IF(AD61=0,J61,0)</f>
        <v>0</v>
      </c>
      <c r="AA61" s="40">
        <f>IF(AD61=10,J61,0)</f>
        <v>0</v>
      </c>
      <c r="AB61" s="40">
        <f>IF(AD61=20,J61,0)</f>
        <v>0</v>
      </c>
      <c r="AD61" s="40">
        <v>20</v>
      </c>
      <c r="AE61" s="40">
        <f>G61*0</f>
        <v>0</v>
      </c>
      <c r="AF61" s="40">
        <f>G61*(1-0)</f>
        <v>0</v>
      </c>
    </row>
    <row r="62" spans="1:37" ht="12.75">
      <c r="A62" s="42"/>
      <c r="B62" s="42"/>
      <c r="C62" s="43" t="s">
        <v>188</v>
      </c>
      <c r="D62" s="140" t="s">
        <v>189</v>
      </c>
      <c r="E62" s="141"/>
      <c r="F62" s="141"/>
      <c r="G62" s="141"/>
      <c r="H62" s="39">
        <f>SUM(H63:H63)</f>
        <v>0</v>
      </c>
      <c r="I62" s="39">
        <f>SUM(I63:I63)</f>
        <v>0</v>
      </c>
      <c r="J62" s="39">
        <f>H62+I62</f>
        <v>0</v>
      </c>
      <c r="K62" s="34"/>
      <c r="L62" s="39">
        <f>SUM(L63:L63)</f>
        <v>0</v>
      </c>
      <c r="P62" s="39">
        <f>IF(Q62="PR",J62,SUM(O63:O63))</f>
        <v>0</v>
      </c>
      <c r="Q62" s="34" t="s">
        <v>161</v>
      </c>
      <c r="R62" s="39">
        <f>IF(Q62="HS",H62,0)</f>
        <v>0</v>
      </c>
      <c r="S62" s="39">
        <f>IF(Q62="HS",I62-P62,0)</f>
        <v>0</v>
      </c>
      <c r="T62" s="39">
        <f>IF(Q62="PS",H62,0)</f>
        <v>0</v>
      </c>
      <c r="U62" s="39">
        <f>IF(Q62="PS",I62-P62,0)</f>
        <v>0</v>
      </c>
      <c r="V62" s="39">
        <f>IF(Q62="MP",H62,0)</f>
        <v>0</v>
      </c>
      <c r="W62" s="39">
        <f>IF(Q62="MP",I62-P62,0)</f>
        <v>0</v>
      </c>
      <c r="X62" s="39">
        <f>IF(Q62="OM",H62,0)</f>
        <v>0</v>
      </c>
      <c r="Y62" s="34"/>
      <c r="AI62" s="39">
        <f>SUM(Z63:Z63)</f>
        <v>0</v>
      </c>
      <c r="AJ62" s="39">
        <f>SUM(AA63:AA63)</f>
        <v>0</v>
      </c>
      <c r="AK62" s="39">
        <f>SUM(AB63:AB63)</f>
        <v>0</v>
      </c>
    </row>
    <row r="63" spans="1:32" ht="12.75">
      <c r="A63" s="22" t="s">
        <v>190</v>
      </c>
      <c r="B63" s="22"/>
      <c r="C63" s="22" t="s">
        <v>191</v>
      </c>
      <c r="D63" s="22" t="s">
        <v>192</v>
      </c>
      <c r="E63" s="22" t="s">
        <v>110</v>
      </c>
      <c r="F63" s="40">
        <v>24.4</v>
      </c>
      <c r="G63" s="40"/>
      <c r="H63" s="40">
        <f>ROUND(F63*AE63,2)</f>
        <v>0</v>
      </c>
      <c r="I63" s="40">
        <f>J63-H63</f>
        <v>0</v>
      </c>
      <c r="J63" s="40">
        <f>ROUND(F63*G63,2)</f>
        <v>0</v>
      </c>
      <c r="K63" s="40">
        <v>0</v>
      </c>
      <c r="L63" s="40">
        <f>F63*K63</f>
        <v>0</v>
      </c>
      <c r="N63" s="41" t="s">
        <v>74</v>
      </c>
      <c r="O63" s="40">
        <f>IF(N63="5",I63,0)</f>
        <v>0</v>
      </c>
      <c r="Z63" s="40">
        <f>IF(AD63=0,J63,0)</f>
        <v>0</v>
      </c>
      <c r="AA63" s="40">
        <f>IF(AD63=10,J63,0)</f>
        <v>0</v>
      </c>
      <c r="AB63" s="40">
        <f>IF(AD63=20,J63,0)</f>
        <v>0</v>
      </c>
      <c r="AD63" s="40">
        <v>20</v>
      </c>
      <c r="AE63" s="40">
        <f>G63*0</f>
        <v>0</v>
      </c>
      <c r="AF63" s="40">
        <f>G63*(1-0)</f>
        <v>0</v>
      </c>
    </row>
    <row r="64" spans="1:37" ht="12.75">
      <c r="A64" s="42"/>
      <c r="B64" s="42"/>
      <c r="C64" s="43" t="s">
        <v>298</v>
      </c>
      <c r="D64" s="140" t="s">
        <v>299</v>
      </c>
      <c r="E64" s="141"/>
      <c r="F64" s="141"/>
      <c r="G64" s="141"/>
      <c r="H64" s="39">
        <f>SUM(H65:H65)</f>
        <v>0</v>
      </c>
      <c r="I64" s="39">
        <f>SUM(I65:I65)</f>
        <v>0</v>
      </c>
      <c r="J64" s="39">
        <f>H64+I64</f>
        <v>0</v>
      </c>
      <c r="K64" s="34"/>
      <c r="L64" s="39">
        <f>SUM(L65:L65)</f>
        <v>0.0176042</v>
      </c>
      <c r="P64" s="39">
        <f>IF(Q64="PR",J64,SUM(O65:O65))</f>
        <v>0</v>
      </c>
      <c r="Q64" s="34" t="s">
        <v>161</v>
      </c>
      <c r="R64" s="39">
        <f>IF(Q64="HS",H64,0)</f>
        <v>0</v>
      </c>
      <c r="S64" s="39">
        <f>IF(Q64="HS",I64-P64,0)</f>
        <v>0</v>
      </c>
      <c r="T64" s="39">
        <f>IF(Q64="PS",H64,0)</f>
        <v>0</v>
      </c>
      <c r="U64" s="39">
        <f>IF(Q64="PS",I64-P64,0)</f>
        <v>0</v>
      </c>
      <c r="V64" s="39">
        <f>IF(Q64="MP",H64,0)</f>
        <v>0</v>
      </c>
      <c r="W64" s="39">
        <f>IF(Q64="MP",I64-P64,0)</f>
        <v>0</v>
      </c>
      <c r="X64" s="39">
        <f>IF(Q64="OM",H64,0)</f>
        <v>0</v>
      </c>
      <c r="Y64" s="34"/>
      <c r="AI64" s="39">
        <f>SUM(Z65:Z65)</f>
        <v>0</v>
      </c>
      <c r="AJ64" s="39">
        <f>SUM(AA65:AA65)</f>
        <v>0</v>
      </c>
      <c r="AK64" s="39">
        <f>SUM(AB65:AB65)</f>
        <v>0</v>
      </c>
    </row>
    <row r="65" spans="1:32" ht="12.75">
      <c r="A65" s="22" t="s">
        <v>195</v>
      </c>
      <c r="B65" s="22"/>
      <c r="C65" s="22" t="s">
        <v>300</v>
      </c>
      <c r="D65" s="22" t="s">
        <v>301</v>
      </c>
      <c r="E65" s="22" t="s">
        <v>110</v>
      </c>
      <c r="F65" s="40">
        <v>0.23</v>
      </c>
      <c r="G65" s="40"/>
      <c r="H65" s="40">
        <f>ROUND(F65*AE65,2)</f>
        <v>0</v>
      </c>
      <c r="I65" s="40">
        <f>J65-H65</f>
        <v>0</v>
      </c>
      <c r="J65" s="40">
        <f>ROUND(F65*G65,2)</f>
        <v>0</v>
      </c>
      <c r="K65" s="40">
        <v>0.07654</v>
      </c>
      <c r="L65" s="40">
        <f>F65*K65</f>
        <v>0.0176042</v>
      </c>
      <c r="N65" s="41" t="s">
        <v>74</v>
      </c>
      <c r="O65" s="40">
        <f>IF(N65="5",I65,0)</f>
        <v>0</v>
      </c>
      <c r="Z65" s="40">
        <f>IF(AD65=0,J65,0)</f>
        <v>0</v>
      </c>
      <c r="AA65" s="40">
        <f>IF(AD65=10,J65,0)</f>
        <v>0</v>
      </c>
      <c r="AB65" s="40">
        <f>IF(AD65=20,J65,0)</f>
        <v>0</v>
      </c>
      <c r="AD65" s="40">
        <v>20</v>
      </c>
      <c r="AE65" s="40">
        <f>G65*0.262009633464699</f>
        <v>0</v>
      </c>
      <c r="AF65" s="40">
        <f>G65*(1-0.262009633464699)</f>
        <v>0</v>
      </c>
    </row>
    <row r="66" spans="1:37" ht="12.75">
      <c r="A66" s="42"/>
      <c r="B66" s="42"/>
      <c r="C66" s="43" t="s">
        <v>193</v>
      </c>
      <c r="D66" s="140" t="s">
        <v>194</v>
      </c>
      <c r="E66" s="141"/>
      <c r="F66" s="141"/>
      <c r="G66" s="141"/>
      <c r="H66" s="39">
        <f>SUM(H67:H69)</f>
        <v>0</v>
      </c>
      <c r="I66" s="39">
        <f>SUM(I67:I69)</f>
        <v>0</v>
      </c>
      <c r="J66" s="39">
        <f>H66+I66</f>
        <v>0</v>
      </c>
      <c r="K66" s="34"/>
      <c r="L66" s="39">
        <f>SUM(L67:L69)</f>
        <v>0.0008</v>
      </c>
      <c r="P66" s="39">
        <f>IF(Q66="PR",J66,SUM(O67:O69))</f>
        <v>0</v>
      </c>
      <c r="Q66" s="34" t="s">
        <v>73</v>
      </c>
      <c r="R66" s="39">
        <f>IF(Q66="HS",H66,0)</f>
        <v>0</v>
      </c>
      <c r="S66" s="39">
        <f>IF(Q66="HS",I66-P66,0)</f>
        <v>0</v>
      </c>
      <c r="T66" s="39">
        <f>IF(Q66="PS",H66,0)</f>
        <v>0</v>
      </c>
      <c r="U66" s="39">
        <f>IF(Q66="PS",I66-P66,0)</f>
        <v>0</v>
      </c>
      <c r="V66" s="39">
        <f>IF(Q66="MP",H66,0)</f>
        <v>0</v>
      </c>
      <c r="W66" s="39">
        <f>IF(Q66="MP",I66-P66,0)</f>
        <v>0</v>
      </c>
      <c r="X66" s="39">
        <f>IF(Q66="OM",H66,0)</f>
        <v>0</v>
      </c>
      <c r="Y66" s="34"/>
      <c r="AI66" s="39">
        <f>SUM(Z67:Z69)</f>
        <v>0</v>
      </c>
      <c r="AJ66" s="39">
        <f>SUM(AA67:AA69)</f>
        <v>0</v>
      </c>
      <c r="AK66" s="39">
        <f>SUM(AB67:AB69)</f>
        <v>0</v>
      </c>
    </row>
    <row r="67" spans="1:32" ht="12.75">
      <c r="A67" s="22" t="s">
        <v>198</v>
      </c>
      <c r="B67" s="22"/>
      <c r="C67" s="22" t="s">
        <v>196</v>
      </c>
      <c r="D67" s="22" t="s">
        <v>197</v>
      </c>
      <c r="E67" s="22" t="s">
        <v>178</v>
      </c>
      <c r="F67" s="40">
        <v>5</v>
      </c>
      <c r="G67" s="40"/>
      <c r="H67" s="40">
        <f>ROUND(F67*AE67,2)</f>
        <v>0</v>
      </c>
      <c r="I67" s="40">
        <f>J67-H67</f>
        <v>0</v>
      </c>
      <c r="J67" s="40">
        <f>ROUND(F67*G67,2)</f>
        <v>0</v>
      </c>
      <c r="K67" s="40">
        <v>0</v>
      </c>
      <c r="L67" s="40">
        <f>F67*K67</f>
        <v>0</v>
      </c>
      <c r="N67" s="41" t="s">
        <v>74</v>
      </c>
      <c r="O67" s="40">
        <f>IF(N67="5",I67,0)</f>
        <v>0</v>
      </c>
      <c r="Z67" s="40">
        <f>IF(AD67=0,J67,0)</f>
        <v>0</v>
      </c>
      <c r="AA67" s="40">
        <f>IF(AD67=10,J67,0)</f>
        <v>0</v>
      </c>
      <c r="AB67" s="40">
        <f>IF(AD67=20,J67,0)</f>
        <v>0</v>
      </c>
      <c r="AD67" s="40">
        <v>20</v>
      </c>
      <c r="AE67" s="40">
        <f>G67*0</f>
        <v>0</v>
      </c>
      <c r="AF67" s="40">
        <f>G67*(1-0)</f>
        <v>0</v>
      </c>
    </row>
    <row r="68" spans="1:32" ht="12.75">
      <c r="A68" s="22" t="s">
        <v>201</v>
      </c>
      <c r="B68" s="22"/>
      <c r="C68" s="22" t="s">
        <v>199</v>
      </c>
      <c r="D68" s="22" t="s">
        <v>200</v>
      </c>
      <c r="E68" s="22" t="s">
        <v>110</v>
      </c>
      <c r="F68" s="40">
        <v>4</v>
      </c>
      <c r="G68" s="40"/>
      <c r="H68" s="40">
        <f>ROUND(F68*AE68,2)</f>
        <v>0</v>
      </c>
      <c r="I68" s="40">
        <f>J68-H68</f>
        <v>0</v>
      </c>
      <c r="J68" s="40">
        <f>ROUND(F68*G68,2)</f>
        <v>0</v>
      </c>
      <c r="K68" s="40">
        <v>0.0002</v>
      </c>
      <c r="L68" s="40">
        <f>F68*K68</f>
        <v>0.0008</v>
      </c>
      <c r="N68" s="41" t="s">
        <v>104</v>
      </c>
      <c r="O68" s="40">
        <f>IF(N68="5",I68,0)</f>
        <v>0</v>
      </c>
      <c r="Z68" s="40">
        <f>IF(AD68=0,J68,0)</f>
        <v>0</v>
      </c>
      <c r="AA68" s="40">
        <f>IF(AD68=10,J68,0)</f>
        <v>0</v>
      </c>
      <c r="AB68" s="40">
        <f>IF(AD68=20,J68,0)</f>
        <v>0</v>
      </c>
      <c r="AD68" s="40">
        <v>20</v>
      </c>
      <c r="AE68" s="40">
        <f>G68*1</f>
        <v>0</v>
      </c>
      <c r="AF68" s="40">
        <f>G68*(1-1)</f>
        <v>0</v>
      </c>
    </row>
    <row r="69" spans="1:32" ht="12.75">
      <c r="A69" s="22" t="s">
        <v>204</v>
      </c>
      <c r="B69" s="22"/>
      <c r="C69" s="22" t="s">
        <v>123</v>
      </c>
      <c r="D69" s="22" t="s">
        <v>124</v>
      </c>
      <c r="E69" s="22" t="s">
        <v>125</v>
      </c>
      <c r="F69" s="40">
        <v>0.0008</v>
      </c>
      <c r="G69" s="40"/>
      <c r="H69" s="40">
        <f>ROUND(F69*AE69,2)</f>
        <v>0</v>
      </c>
      <c r="I69" s="40">
        <f>J69-H69</f>
        <v>0</v>
      </c>
      <c r="J69" s="40">
        <f>ROUND(F69*G69,2)</f>
        <v>0</v>
      </c>
      <c r="K69" s="40">
        <v>0</v>
      </c>
      <c r="L69" s="40">
        <f>F69*K69</f>
        <v>0</v>
      </c>
      <c r="N69" s="41" t="s">
        <v>89</v>
      </c>
      <c r="O69" s="40">
        <f>IF(N69="5",I69,0)</f>
        <v>0</v>
      </c>
      <c r="Z69" s="40">
        <f>IF(AD69=0,J69,0)</f>
        <v>0</v>
      </c>
      <c r="AA69" s="40">
        <f>IF(AD69=10,J69,0)</f>
        <v>0</v>
      </c>
      <c r="AB69" s="40">
        <f>IF(AD69=20,J69,0)</f>
        <v>0</v>
      </c>
      <c r="AD69" s="40">
        <v>20</v>
      </c>
      <c r="AE69" s="40">
        <f>G69*0</f>
        <v>0</v>
      </c>
      <c r="AF69" s="40">
        <f>G69*(1-0)</f>
        <v>0</v>
      </c>
    </row>
    <row r="70" spans="1:37" ht="12.75">
      <c r="A70" s="42"/>
      <c r="B70" s="42"/>
      <c r="C70" s="43" t="s">
        <v>202</v>
      </c>
      <c r="D70" s="140" t="s">
        <v>203</v>
      </c>
      <c r="E70" s="141"/>
      <c r="F70" s="141"/>
      <c r="G70" s="141"/>
      <c r="H70" s="39">
        <f>SUM(H71:H71)</f>
        <v>0</v>
      </c>
      <c r="I70" s="39">
        <f>SUM(I71:I71)</f>
        <v>0</v>
      </c>
      <c r="J70" s="39">
        <f>H70+I70</f>
        <v>0</v>
      </c>
      <c r="K70" s="34"/>
      <c r="L70" s="39">
        <f>SUM(L71:L71)</f>
        <v>0</v>
      </c>
      <c r="P70" s="39">
        <f>IF(Q70="PR",J70,SUM(O71:O71))</f>
        <v>0</v>
      </c>
      <c r="Q70" s="34" t="s">
        <v>73</v>
      </c>
      <c r="R70" s="39">
        <f>IF(Q70="HS",H70,0)</f>
        <v>0</v>
      </c>
      <c r="S70" s="39">
        <f>IF(Q70="HS",I70-P70,0)</f>
        <v>0</v>
      </c>
      <c r="T70" s="39">
        <f>IF(Q70="PS",H70,0)</f>
        <v>0</v>
      </c>
      <c r="U70" s="39">
        <f>IF(Q70="PS",I70-P70,0)</f>
        <v>0</v>
      </c>
      <c r="V70" s="39">
        <f>IF(Q70="MP",H70,0)</f>
        <v>0</v>
      </c>
      <c r="W70" s="39">
        <f>IF(Q70="MP",I70-P70,0)</f>
        <v>0</v>
      </c>
      <c r="X70" s="39">
        <f>IF(Q70="OM",H70,0)</f>
        <v>0</v>
      </c>
      <c r="Y70" s="34"/>
      <c r="AI70" s="39">
        <f>SUM(Z71:Z71)</f>
        <v>0</v>
      </c>
      <c r="AJ70" s="39">
        <f>SUM(AA71:AA71)</f>
        <v>0</v>
      </c>
      <c r="AK70" s="39">
        <f>SUM(AB71:AB71)</f>
        <v>0</v>
      </c>
    </row>
    <row r="71" spans="1:32" ht="12.75">
      <c r="A71" s="22" t="s">
        <v>210</v>
      </c>
      <c r="B71" s="22"/>
      <c r="C71" s="22" t="s">
        <v>205</v>
      </c>
      <c r="D71" s="22" t="s">
        <v>206</v>
      </c>
      <c r="E71" s="22" t="s">
        <v>207</v>
      </c>
      <c r="F71" s="40">
        <v>8</v>
      </c>
      <c r="G71" s="40"/>
      <c r="H71" s="40">
        <f>ROUND(F71*AE71,2)</f>
        <v>0</v>
      </c>
      <c r="I71" s="40">
        <f>J71-H71</f>
        <v>0</v>
      </c>
      <c r="J71" s="40">
        <f>ROUND(F71*G71,2)</f>
        <v>0</v>
      </c>
      <c r="K71" s="40">
        <v>0</v>
      </c>
      <c r="L71" s="40">
        <f>F71*K71</f>
        <v>0</v>
      </c>
      <c r="N71" s="41" t="s">
        <v>74</v>
      </c>
      <c r="O71" s="40">
        <f>IF(N71="5",I71,0)</f>
        <v>0</v>
      </c>
      <c r="Z71" s="40">
        <f>IF(AD71=0,J71,0)</f>
        <v>0</v>
      </c>
      <c r="AA71" s="40">
        <f>IF(AD71=10,J71,0)</f>
        <v>0</v>
      </c>
      <c r="AB71" s="40">
        <f>IF(AD71=20,J71,0)</f>
        <v>0</v>
      </c>
      <c r="AD71" s="40">
        <v>20</v>
      </c>
      <c r="AE71" s="40">
        <f>G71*0</f>
        <v>0</v>
      </c>
      <c r="AF71" s="40">
        <f>G71*(1-0)</f>
        <v>0</v>
      </c>
    </row>
    <row r="72" spans="1:37" ht="12.75">
      <c r="A72" s="42"/>
      <c r="B72" s="42"/>
      <c r="C72" s="43" t="s">
        <v>208</v>
      </c>
      <c r="D72" s="140" t="s">
        <v>209</v>
      </c>
      <c r="E72" s="141"/>
      <c r="F72" s="141"/>
      <c r="G72" s="141"/>
      <c r="H72" s="39">
        <f>SUM(H73:H74)</f>
        <v>0</v>
      </c>
      <c r="I72" s="39">
        <f>SUM(I73:I74)</f>
        <v>0</v>
      </c>
      <c r="J72" s="39">
        <f>H72+I72</f>
        <v>0</v>
      </c>
      <c r="K72" s="34"/>
      <c r="L72" s="39">
        <f>SUM(L73:L74)</f>
        <v>0.38098</v>
      </c>
      <c r="P72" s="39">
        <f>IF(Q72="PR",J72,SUM(O73:O74))</f>
        <v>0</v>
      </c>
      <c r="Q72" s="34" t="s">
        <v>73</v>
      </c>
      <c r="R72" s="39">
        <f>IF(Q72="HS",H72,0)</f>
        <v>0</v>
      </c>
      <c r="S72" s="39">
        <f>IF(Q72="HS",I72-P72,0)</f>
        <v>0</v>
      </c>
      <c r="T72" s="39">
        <f>IF(Q72="PS",H72,0)</f>
        <v>0</v>
      </c>
      <c r="U72" s="39">
        <f>IF(Q72="PS",I72-P72,0)</f>
        <v>0</v>
      </c>
      <c r="V72" s="39">
        <f>IF(Q72="MP",H72,0)</f>
        <v>0</v>
      </c>
      <c r="W72" s="39">
        <f>IF(Q72="MP",I72-P72,0)</f>
        <v>0</v>
      </c>
      <c r="X72" s="39">
        <f>IF(Q72="OM",H72,0)</f>
        <v>0</v>
      </c>
      <c r="Y72" s="34"/>
      <c r="AI72" s="39">
        <f>SUM(Z73:Z74)</f>
        <v>0</v>
      </c>
      <c r="AJ72" s="39">
        <f>SUM(AA73:AA74)</f>
        <v>0</v>
      </c>
      <c r="AK72" s="39">
        <f>SUM(AB73:AB74)</f>
        <v>0</v>
      </c>
    </row>
    <row r="73" spans="1:32" ht="12.75">
      <c r="A73" s="22" t="s">
        <v>213</v>
      </c>
      <c r="B73" s="22"/>
      <c r="C73" s="22" t="s">
        <v>211</v>
      </c>
      <c r="D73" s="22" t="s">
        <v>212</v>
      </c>
      <c r="E73" s="22" t="s">
        <v>178</v>
      </c>
      <c r="F73" s="40">
        <v>2</v>
      </c>
      <c r="G73" s="40"/>
      <c r="H73" s="40">
        <f>ROUND(F73*AE73,2)</f>
        <v>0</v>
      </c>
      <c r="I73" s="40">
        <f>J73-H73</f>
        <v>0</v>
      </c>
      <c r="J73" s="40">
        <f>ROUND(F73*G73,2)</f>
        <v>0</v>
      </c>
      <c r="K73" s="40">
        <v>0.19049</v>
      </c>
      <c r="L73" s="40">
        <f>F73*K73</f>
        <v>0.38098</v>
      </c>
      <c r="N73" s="41" t="s">
        <v>74</v>
      </c>
      <c r="O73" s="40">
        <f>IF(N73="5",I73,0)</f>
        <v>0</v>
      </c>
      <c r="Z73" s="40">
        <f>IF(AD73=0,J73,0)</f>
        <v>0</v>
      </c>
      <c r="AA73" s="40">
        <f>IF(AD73=10,J73,0)</f>
        <v>0</v>
      </c>
      <c r="AB73" s="40">
        <f>IF(AD73=20,J73,0)</f>
        <v>0</v>
      </c>
      <c r="AD73" s="40">
        <v>20</v>
      </c>
      <c r="AE73" s="40">
        <f>G73*0.800036506342977</f>
        <v>0</v>
      </c>
      <c r="AF73" s="40">
        <f>G73*(1-0.800036506342977)</f>
        <v>0</v>
      </c>
    </row>
    <row r="74" spans="1:32" ht="12.75">
      <c r="A74" s="22" t="s">
        <v>216</v>
      </c>
      <c r="B74" s="22"/>
      <c r="C74" s="22" t="s">
        <v>123</v>
      </c>
      <c r="D74" s="22" t="s">
        <v>124</v>
      </c>
      <c r="E74" s="22" t="s">
        <v>125</v>
      </c>
      <c r="F74" s="40">
        <v>0.38098</v>
      </c>
      <c r="G74" s="40"/>
      <c r="H74" s="40">
        <f>ROUND(F74*AE74,2)</f>
        <v>0</v>
      </c>
      <c r="I74" s="40">
        <f>J74-H74</f>
        <v>0</v>
      </c>
      <c r="J74" s="40">
        <f>ROUND(F74*G74,2)</f>
        <v>0</v>
      </c>
      <c r="K74" s="40">
        <v>0</v>
      </c>
      <c r="L74" s="40">
        <f>F74*K74</f>
        <v>0</v>
      </c>
      <c r="N74" s="41" t="s">
        <v>89</v>
      </c>
      <c r="O74" s="40">
        <f>IF(N74="5",I74,0)</f>
        <v>0</v>
      </c>
      <c r="Z74" s="40">
        <f>IF(AD74=0,J74,0)</f>
        <v>0</v>
      </c>
      <c r="AA74" s="40">
        <f>IF(AD74=10,J74,0)</f>
        <v>0</v>
      </c>
      <c r="AB74" s="40">
        <f>IF(AD74=20,J74,0)</f>
        <v>0</v>
      </c>
      <c r="AD74" s="40">
        <v>20</v>
      </c>
      <c r="AE74" s="40">
        <f>G74*0</f>
        <v>0</v>
      </c>
      <c r="AF74" s="40">
        <f>G74*(1-0)</f>
        <v>0</v>
      </c>
    </row>
    <row r="75" spans="1:37" ht="12.75">
      <c r="A75" s="42"/>
      <c r="B75" s="42"/>
      <c r="C75" s="43" t="s">
        <v>214</v>
      </c>
      <c r="D75" s="140" t="s">
        <v>215</v>
      </c>
      <c r="E75" s="141"/>
      <c r="F75" s="141"/>
      <c r="G75" s="141"/>
      <c r="H75" s="39">
        <f>SUM(H76:H81)</f>
        <v>0</v>
      </c>
      <c r="I75" s="39">
        <f>SUM(I76:I81)</f>
        <v>0</v>
      </c>
      <c r="J75" s="39">
        <f>H75+I75</f>
        <v>0</v>
      </c>
      <c r="K75" s="34"/>
      <c r="L75" s="39">
        <f>SUM(L76:L81)</f>
        <v>12.0255</v>
      </c>
      <c r="P75" s="39">
        <f>IF(Q75="PR",J75,SUM(O76:O81))</f>
        <v>0</v>
      </c>
      <c r="Q75" s="34" t="s">
        <v>73</v>
      </c>
      <c r="R75" s="39">
        <f>IF(Q75="HS",H75,0)</f>
        <v>0</v>
      </c>
      <c r="S75" s="39">
        <f>IF(Q75="HS",I75-P75,0)</f>
        <v>0</v>
      </c>
      <c r="T75" s="39">
        <f>IF(Q75="PS",H75,0)</f>
        <v>0</v>
      </c>
      <c r="U75" s="39">
        <f>IF(Q75="PS",I75-P75,0)</f>
        <v>0</v>
      </c>
      <c r="V75" s="39">
        <f>IF(Q75="MP",H75,0)</f>
        <v>0</v>
      </c>
      <c r="W75" s="39">
        <f>IF(Q75="MP",I75-P75,0)</f>
        <v>0</v>
      </c>
      <c r="X75" s="39">
        <f>IF(Q75="OM",H75,0)</f>
        <v>0</v>
      </c>
      <c r="Y75" s="34"/>
      <c r="AI75" s="39">
        <f>SUM(Z76:Z81)</f>
        <v>0</v>
      </c>
      <c r="AJ75" s="39">
        <f>SUM(AA76:AA81)</f>
        <v>0</v>
      </c>
      <c r="AK75" s="39">
        <f>SUM(AB76:AB81)</f>
        <v>0</v>
      </c>
    </row>
    <row r="76" spans="1:32" ht="12.75">
      <c r="A76" s="22" t="s">
        <v>219</v>
      </c>
      <c r="B76" s="22"/>
      <c r="C76" s="22" t="s">
        <v>217</v>
      </c>
      <c r="D76" s="22" t="s">
        <v>218</v>
      </c>
      <c r="E76" s="22" t="s">
        <v>77</v>
      </c>
      <c r="F76" s="40">
        <v>1.89</v>
      </c>
      <c r="G76" s="40"/>
      <c r="H76" s="40">
        <f aca="true" t="shared" si="0" ref="H76:H81">ROUND(F76*AE76,2)</f>
        <v>0</v>
      </c>
      <c r="I76" s="40">
        <f aca="true" t="shared" si="1" ref="I76:I81">J76-H76</f>
        <v>0</v>
      </c>
      <c r="J76" s="40">
        <f aca="true" t="shared" si="2" ref="J76:J81">ROUND(F76*G76,2)</f>
        <v>0</v>
      </c>
      <c r="K76" s="40">
        <v>2.2</v>
      </c>
      <c r="L76" s="40">
        <f aca="true" t="shared" si="3" ref="L76:L81">F76*K76</f>
        <v>4.158</v>
      </c>
      <c r="N76" s="41" t="s">
        <v>74</v>
      </c>
      <c r="O76" s="40">
        <f aca="true" t="shared" si="4" ref="O76:O81">IF(N76="5",I76,0)</f>
        <v>0</v>
      </c>
      <c r="Z76" s="40">
        <f aca="true" t="shared" si="5" ref="Z76:Z81">IF(AD76=0,J76,0)</f>
        <v>0</v>
      </c>
      <c r="AA76" s="40">
        <f aca="true" t="shared" si="6" ref="AA76:AA81">IF(AD76=10,J76,0)</f>
        <v>0</v>
      </c>
      <c r="AB76" s="40">
        <f aca="true" t="shared" si="7" ref="AB76:AB81">IF(AD76=20,J76,0)</f>
        <v>0</v>
      </c>
      <c r="AD76" s="40">
        <v>20</v>
      </c>
      <c r="AE76" s="40">
        <f>G76*0</f>
        <v>0</v>
      </c>
      <c r="AF76" s="40">
        <f>G76*(1-0)</f>
        <v>0</v>
      </c>
    </row>
    <row r="77" spans="1:32" ht="12.75">
      <c r="A77" s="22" t="s">
        <v>130</v>
      </c>
      <c r="B77" s="22"/>
      <c r="C77" s="22" t="s">
        <v>220</v>
      </c>
      <c r="D77" s="22" t="s">
        <v>221</v>
      </c>
      <c r="E77" s="22" t="s">
        <v>77</v>
      </c>
      <c r="F77" s="40">
        <v>2.55</v>
      </c>
      <c r="G77" s="40"/>
      <c r="H77" s="40">
        <f t="shared" si="0"/>
        <v>0</v>
      </c>
      <c r="I77" s="40">
        <f t="shared" si="1"/>
        <v>0</v>
      </c>
      <c r="J77" s="40">
        <f t="shared" si="2"/>
        <v>0</v>
      </c>
      <c r="K77" s="40">
        <v>1.4</v>
      </c>
      <c r="L77" s="40">
        <f t="shared" si="3"/>
        <v>3.5699999999999994</v>
      </c>
      <c r="N77" s="41" t="s">
        <v>74</v>
      </c>
      <c r="O77" s="40">
        <f t="shared" si="4"/>
        <v>0</v>
      </c>
      <c r="Z77" s="40">
        <f t="shared" si="5"/>
        <v>0</v>
      </c>
      <c r="AA77" s="40">
        <f t="shared" si="6"/>
        <v>0</v>
      </c>
      <c r="AB77" s="40">
        <f t="shared" si="7"/>
        <v>0</v>
      </c>
      <c r="AD77" s="40">
        <v>20</v>
      </c>
      <c r="AE77" s="40">
        <f>G77*0</f>
        <v>0</v>
      </c>
      <c r="AF77" s="40">
        <f>G77*(1-0)</f>
        <v>0</v>
      </c>
    </row>
    <row r="78" spans="1:32" ht="12.75">
      <c r="A78" s="22" t="s">
        <v>224</v>
      </c>
      <c r="B78" s="22"/>
      <c r="C78" s="22" t="s">
        <v>222</v>
      </c>
      <c r="D78" s="22" t="s">
        <v>223</v>
      </c>
      <c r="E78" s="22" t="s">
        <v>134</v>
      </c>
      <c r="F78" s="40">
        <v>2</v>
      </c>
      <c r="G78" s="40"/>
      <c r="H78" s="40">
        <f t="shared" si="0"/>
        <v>0</v>
      </c>
      <c r="I78" s="40">
        <f t="shared" si="1"/>
        <v>0</v>
      </c>
      <c r="J78" s="40">
        <f t="shared" si="2"/>
        <v>0</v>
      </c>
      <c r="K78" s="40">
        <v>0</v>
      </c>
      <c r="L78" s="40">
        <f t="shared" si="3"/>
        <v>0</v>
      </c>
      <c r="N78" s="41" t="s">
        <v>74</v>
      </c>
      <c r="O78" s="40">
        <f t="shared" si="4"/>
        <v>0</v>
      </c>
      <c r="Z78" s="40">
        <f t="shared" si="5"/>
        <v>0</v>
      </c>
      <c r="AA78" s="40">
        <f t="shared" si="6"/>
        <v>0</v>
      </c>
      <c r="AB78" s="40">
        <f t="shared" si="7"/>
        <v>0</v>
      </c>
      <c r="AD78" s="40">
        <v>20</v>
      </c>
      <c r="AE78" s="40">
        <f>G78*0</f>
        <v>0</v>
      </c>
      <c r="AF78" s="40">
        <f>G78*(1-0)</f>
        <v>0</v>
      </c>
    </row>
    <row r="79" spans="1:32" ht="12.75">
      <c r="A79" s="22" t="s">
        <v>227</v>
      </c>
      <c r="B79" s="22"/>
      <c r="C79" s="22" t="s">
        <v>225</v>
      </c>
      <c r="D79" s="22" t="s">
        <v>226</v>
      </c>
      <c r="E79" s="22" t="s">
        <v>77</v>
      </c>
      <c r="F79" s="40">
        <v>0.45</v>
      </c>
      <c r="G79" s="40"/>
      <c r="H79" s="40">
        <f t="shared" si="0"/>
        <v>0</v>
      </c>
      <c r="I79" s="40">
        <f t="shared" si="1"/>
        <v>0</v>
      </c>
      <c r="J79" s="40">
        <f t="shared" si="2"/>
        <v>0</v>
      </c>
      <c r="K79" s="40">
        <v>1.95</v>
      </c>
      <c r="L79" s="40">
        <f t="shared" si="3"/>
        <v>0.8775</v>
      </c>
      <c r="N79" s="41" t="s">
        <v>74</v>
      </c>
      <c r="O79" s="40">
        <f t="shared" si="4"/>
        <v>0</v>
      </c>
      <c r="Z79" s="40">
        <f t="shared" si="5"/>
        <v>0</v>
      </c>
      <c r="AA79" s="40">
        <f t="shared" si="6"/>
        <v>0</v>
      </c>
      <c r="AB79" s="40">
        <f t="shared" si="7"/>
        <v>0</v>
      </c>
      <c r="AD79" s="40">
        <v>20</v>
      </c>
      <c r="AE79" s="40">
        <f>G79*0.0423486922584028</f>
        <v>0</v>
      </c>
      <c r="AF79" s="40">
        <f>G79*(1-0.0423486922584028)</f>
        <v>0</v>
      </c>
    </row>
    <row r="80" spans="1:32" ht="12.75">
      <c r="A80" s="22" t="s">
        <v>230</v>
      </c>
      <c r="B80" s="22"/>
      <c r="C80" s="22" t="s">
        <v>228</v>
      </c>
      <c r="D80" s="22" t="s">
        <v>229</v>
      </c>
      <c r="E80" s="22" t="s">
        <v>134</v>
      </c>
      <c r="F80" s="40">
        <v>18</v>
      </c>
      <c r="G80" s="40"/>
      <c r="H80" s="40">
        <f t="shared" si="0"/>
        <v>0</v>
      </c>
      <c r="I80" s="40">
        <f t="shared" si="1"/>
        <v>0</v>
      </c>
      <c r="J80" s="40">
        <f t="shared" si="2"/>
        <v>0</v>
      </c>
      <c r="K80" s="40">
        <v>0.19</v>
      </c>
      <c r="L80" s="40">
        <f t="shared" si="3"/>
        <v>3.42</v>
      </c>
      <c r="N80" s="41" t="s">
        <v>74</v>
      </c>
      <c r="O80" s="40">
        <f t="shared" si="4"/>
        <v>0</v>
      </c>
      <c r="Z80" s="40">
        <f t="shared" si="5"/>
        <v>0</v>
      </c>
      <c r="AA80" s="40">
        <f t="shared" si="6"/>
        <v>0</v>
      </c>
      <c r="AB80" s="40">
        <f t="shared" si="7"/>
        <v>0</v>
      </c>
      <c r="AD80" s="40">
        <v>20</v>
      </c>
      <c r="AE80" s="40">
        <f>G80*0</f>
        <v>0</v>
      </c>
      <c r="AF80" s="40">
        <f>G80*(1-0)</f>
        <v>0</v>
      </c>
    </row>
    <row r="81" spans="1:32" ht="12.75">
      <c r="A81" s="22" t="s">
        <v>234</v>
      </c>
      <c r="B81" s="22"/>
      <c r="C81" s="22" t="s">
        <v>123</v>
      </c>
      <c r="D81" s="22" t="s">
        <v>124</v>
      </c>
      <c r="E81" s="22" t="s">
        <v>125</v>
      </c>
      <c r="F81" s="40">
        <v>12.0255</v>
      </c>
      <c r="G81" s="40"/>
      <c r="H81" s="40">
        <f t="shared" si="0"/>
        <v>0</v>
      </c>
      <c r="I81" s="40">
        <f t="shared" si="1"/>
        <v>0</v>
      </c>
      <c r="J81" s="40">
        <f t="shared" si="2"/>
        <v>0</v>
      </c>
      <c r="K81" s="40">
        <v>0</v>
      </c>
      <c r="L81" s="40">
        <f t="shared" si="3"/>
        <v>0</v>
      </c>
      <c r="N81" s="41" t="s">
        <v>89</v>
      </c>
      <c r="O81" s="40">
        <f t="shared" si="4"/>
        <v>0</v>
      </c>
      <c r="Z81" s="40">
        <f t="shared" si="5"/>
        <v>0</v>
      </c>
      <c r="AA81" s="40">
        <f t="shared" si="6"/>
        <v>0</v>
      </c>
      <c r="AB81" s="40">
        <f t="shared" si="7"/>
        <v>0</v>
      </c>
      <c r="AD81" s="40">
        <v>20</v>
      </c>
      <c r="AE81" s="40">
        <f>G81*0</f>
        <v>0</v>
      </c>
      <c r="AF81" s="40">
        <f>G81*(1-0)</f>
        <v>0</v>
      </c>
    </row>
    <row r="82" spans="1:37" ht="12.75">
      <c r="A82" s="42"/>
      <c r="B82" s="42"/>
      <c r="C82" s="43" t="s">
        <v>231</v>
      </c>
      <c r="D82" s="140" t="s">
        <v>232</v>
      </c>
      <c r="E82" s="141"/>
      <c r="F82" s="141"/>
      <c r="G82" s="141"/>
      <c r="H82" s="39">
        <f>SUM(H83:H87)</f>
        <v>0</v>
      </c>
      <c r="I82" s="39">
        <f>SUM(I83:I87)</f>
        <v>0</v>
      </c>
      <c r="J82" s="39">
        <f>H82+I82</f>
        <v>0</v>
      </c>
      <c r="K82" s="34"/>
      <c r="L82" s="39">
        <f>SUM(L83:L87)</f>
        <v>0</v>
      </c>
      <c r="P82" s="39">
        <f>IF(Q82="PR",J82,SUM(O83:O87))</f>
        <v>0</v>
      </c>
      <c r="Q82" s="34" t="s">
        <v>233</v>
      </c>
      <c r="R82" s="39">
        <f>IF(Q82="HS",H82,0)</f>
        <v>0</v>
      </c>
      <c r="S82" s="39">
        <f>IF(Q82="HS",I82-P82,0)</f>
        <v>0</v>
      </c>
      <c r="T82" s="39">
        <f>IF(Q82="PS",H82,0)</f>
        <v>0</v>
      </c>
      <c r="U82" s="39">
        <f>IF(Q82="PS",I82-P82,0)</f>
        <v>0</v>
      </c>
      <c r="V82" s="39">
        <f>IF(Q82="MP",H82,0)</f>
        <v>0</v>
      </c>
      <c r="W82" s="39">
        <f>IF(Q82="MP",I82-P82,0)</f>
        <v>0</v>
      </c>
      <c r="X82" s="39">
        <f>IF(Q82="OM",H82,0)</f>
        <v>0</v>
      </c>
      <c r="Y82" s="34"/>
      <c r="AI82" s="39">
        <f>SUM(Z83:Z87)</f>
        <v>0</v>
      </c>
      <c r="AJ82" s="39">
        <f>SUM(AA83:AA87)</f>
        <v>0</v>
      </c>
      <c r="AK82" s="39">
        <f>SUM(AB83:AB87)</f>
        <v>0</v>
      </c>
    </row>
    <row r="83" spans="1:32" ht="12.75">
      <c r="A83" s="22" t="s">
        <v>237</v>
      </c>
      <c r="B83" s="22"/>
      <c r="C83" s="22" t="s">
        <v>235</v>
      </c>
      <c r="D83" s="22" t="s">
        <v>236</v>
      </c>
      <c r="E83" s="22" t="s">
        <v>125</v>
      </c>
      <c r="F83" s="40">
        <v>12.0255</v>
      </c>
      <c r="G83" s="40"/>
      <c r="H83" s="40">
        <f>ROUND(F83*AE83,2)</f>
        <v>0</v>
      </c>
      <c r="I83" s="40">
        <f>J83-H83</f>
        <v>0</v>
      </c>
      <c r="J83" s="40">
        <f>ROUND(F83*G83,2)</f>
        <v>0</v>
      </c>
      <c r="K83" s="40">
        <v>0</v>
      </c>
      <c r="L83" s="40">
        <f>F83*K83</f>
        <v>0</v>
      </c>
      <c r="N83" s="41" t="s">
        <v>89</v>
      </c>
      <c r="O83" s="40">
        <f>IF(N83="5",I83,0)</f>
        <v>0</v>
      </c>
      <c r="Z83" s="40">
        <f>IF(AD83=0,J83,0)</f>
        <v>0</v>
      </c>
      <c r="AA83" s="40">
        <f>IF(AD83=10,J83,0)</f>
        <v>0</v>
      </c>
      <c r="AB83" s="40">
        <f>IF(AD83=20,J83,0)</f>
        <v>0</v>
      </c>
      <c r="AD83" s="40">
        <v>20</v>
      </c>
      <c r="AE83" s="40">
        <f>G83*0</f>
        <v>0</v>
      </c>
      <c r="AF83" s="40">
        <f>G83*(1-0)</f>
        <v>0</v>
      </c>
    </row>
    <row r="84" spans="1:32" ht="12.75">
      <c r="A84" s="22" t="s">
        <v>239</v>
      </c>
      <c r="B84" s="22"/>
      <c r="C84" s="22" t="s">
        <v>235</v>
      </c>
      <c r="D84" s="22" t="s">
        <v>238</v>
      </c>
      <c r="E84" s="22" t="s">
        <v>125</v>
      </c>
      <c r="F84" s="40">
        <v>12.0255</v>
      </c>
      <c r="G84" s="40"/>
      <c r="H84" s="40">
        <f>ROUND(F84*AE84,2)</f>
        <v>0</v>
      </c>
      <c r="I84" s="40">
        <f>J84-H84</f>
        <v>0</v>
      </c>
      <c r="J84" s="40">
        <f>ROUND(F84*G84,2)</f>
        <v>0</v>
      </c>
      <c r="K84" s="40">
        <v>0</v>
      </c>
      <c r="L84" s="40">
        <f>F84*K84</f>
        <v>0</v>
      </c>
      <c r="N84" s="41" t="s">
        <v>89</v>
      </c>
      <c r="O84" s="40">
        <f>IF(N84="5",I84,0)</f>
        <v>0</v>
      </c>
      <c r="Z84" s="40">
        <f>IF(AD84=0,J84,0)</f>
        <v>0</v>
      </c>
      <c r="AA84" s="40">
        <f>IF(AD84=10,J84,0)</f>
        <v>0</v>
      </c>
      <c r="AB84" s="40">
        <f>IF(AD84=20,J84,0)</f>
        <v>0</v>
      </c>
      <c r="AD84" s="40">
        <v>20</v>
      </c>
      <c r="AE84" s="40">
        <f>G84*0</f>
        <v>0</v>
      </c>
      <c r="AF84" s="40">
        <f>G84*(1-0)</f>
        <v>0</v>
      </c>
    </row>
    <row r="85" spans="1:32" ht="12.75">
      <c r="A85" s="22" t="s">
        <v>242</v>
      </c>
      <c r="B85" s="22"/>
      <c r="C85" s="22" t="s">
        <v>240</v>
      </c>
      <c r="D85" s="22" t="s">
        <v>241</v>
      </c>
      <c r="E85" s="22" t="s">
        <v>125</v>
      </c>
      <c r="F85" s="40">
        <v>12.0255</v>
      </c>
      <c r="G85" s="40"/>
      <c r="H85" s="40">
        <f>ROUND(F85*AE85,2)</f>
        <v>0</v>
      </c>
      <c r="I85" s="40">
        <f>J85-H85</f>
        <v>0</v>
      </c>
      <c r="J85" s="40">
        <f>ROUND(F85*G85,2)</f>
        <v>0</v>
      </c>
      <c r="K85" s="40">
        <v>0</v>
      </c>
      <c r="L85" s="40">
        <f>F85*K85</f>
        <v>0</v>
      </c>
      <c r="N85" s="41" t="s">
        <v>89</v>
      </c>
      <c r="O85" s="40">
        <f>IF(N85="5",I85,0)</f>
        <v>0</v>
      </c>
      <c r="Z85" s="40">
        <f>IF(AD85=0,J85,0)</f>
        <v>0</v>
      </c>
      <c r="AA85" s="40">
        <f>IF(AD85=10,J85,0)</f>
        <v>0</v>
      </c>
      <c r="AB85" s="40">
        <f>IF(AD85=20,J85,0)</f>
        <v>0</v>
      </c>
      <c r="AD85" s="40">
        <v>20</v>
      </c>
      <c r="AE85" s="40">
        <f>G85*0</f>
        <v>0</v>
      </c>
      <c r="AF85" s="40">
        <f>G85*(1-0)</f>
        <v>0</v>
      </c>
    </row>
    <row r="86" spans="1:32" ht="12.75">
      <c r="A86" s="22" t="s">
        <v>245</v>
      </c>
      <c r="B86" s="22"/>
      <c r="C86" s="22" t="s">
        <v>243</v>
      </c>
      <c r="D86" s="22" t="s">
        <v>244</v>
      </c>
      <c r="E86" s="22" t="s">
        <v>125</v>
      </c>
      <c r="F86" s="40">
        <v>180.38</v>
      </c>
      <c r="G86" s="40"/>
      <c r="H86" s="40">
        <f>ROUND(F86*AE86,2)</f>
        <v>0</v>
      </c>
      <c r="I86" s="40">
        <f>J86-H86</f>
        <v>0</v>
      </c>
      <c r="J86" s="40">
        <f>ROUND(F86*G86,2)</f>
        <v>0</v>
      </c>
      <c r="K86" s="40">
        <v>0</v>
      </c>
      <c r="L86" s="40">
        <f>F86*K86</f>
        <v>0</v>
      </c>
      <c r="N86" s="41" t="s">
        <v>89</v>
      </c>
      <c r="O86" s="40">
        <f>IF(N86="5",I86,0)</f>
        <v>0</v>
      </c>
      <c r="Z86" s="40">
        <f>IF(AD86=0,J86,0)</f>
        <v>0</v>
      </c>
      <c r="AA86" s="40">
        <f>IF(AD86=10,J86,0)</f>
        <v>0</v>
      </c>
      <c r="AB86" s="40">
        <f>IF(AD86=20,J86,0)</f>
        <v>0</v>
      </c>
      <c r="AD86" s="40">
        <v>20</v>
      </c>
      <c r="AE86" s="40">
        <f>G86*0</f>
        <v>0</v>
      </c>
      <c r="AF86" s="40">
        <f>G86*(1-0)</f>
        <v>0</v>
      </c>
    </row>
    <row r="87" spans="1:32" ht="12.75">
      <c r="A87" s="44" t="s">
        <v>287</v>
      </c>
      <c r="B87" s="44"/>
      <c r="C87" s="44" t="s">
        <v>246</v>
      </c>
      <c r="D87" s="44" t="s">
        <v>247</v>
      </c>
      <c r="E87" s="44" t="s">
        <v>125</v>
      </c>
      <c r="F87" s="45">
        <v>12.0255</v>
      </c>
      <c r="G87" s="45"/>
      <c r="H87" s="45">
        <f>ROUND(F87*AE87,2)</f>
        <v>0</v>
      </c>
      <c r="I87" s="45">
        <f>J87-H87</f>
        <v>0</v>
      </c>
      <c r="J87" s="45">
        <f>ROUND(F87*G87,2)</f>
        <v>0</v>
      </c>
      <c r="K87" s="45">
        <v>0</v>
      </c>
      <c r="L87" s="45">
        <f>F87*K87</f>
        <v>0</v>
      </c>
      <c r="N87" s="41" t="s">
        <v>89</v>
      </c>
      <c r="O87" s="40">
        <f>IF(N87="5",I87,0)</f>
        <v>0</v>
      </c>
      <c r="Z87" s="40">
        <f>IF(AD87=0,J87,0)</f>
        <v>0</v>
      </c>
      <c r="AA87" s="40">
        <f>IF(AD87=10,J87,0)</f>
        <v>0</v>
      </c>
      <c r="AB87" s="40">
        <f>IF(AD87=20,J87,0)</f>
        <v>0</v>
      </c>
      <c r="AD87" s="40">
        <v>20</v>
      </c>
      <c r="AE87" s="40">
        <f>G87*0</f>
        <v>0</v>
      </c>
      <c r="AF87" s="40">
        <f>G87*(1-0)</f>
        <v>0</v>
      </c>
    </row>
    <row r="88" spans="1:28" ht="12.75">
      <c r="A88" s="46"/>
      <c r="B88" s="46"/>
      <c r="C88" s="46"/>
      <c r="D88" s="46"/>
      <c r="E88" s="46"/>
      <c r="F88" s="46"/>
      <c r="G88" s="46"/>
      <c r="H88" s="135" t="s">
        <v>248</v>
      </c>
      <c r="I88" s="136"/>
      <c r="J88" s="47">
        <f>J12+J15+J19+J24+J29+J31+J33+J37+J41+J44+J46+J50+J53+J59+J62+J64+J66+J70+J72+J75+J82</f>
        <v>0</v>
      </c>
      <c r="K88" s="46"/>
      <c r="L88" s="46"/>
      <c r="Z88" s="48">
        <f>SUM(Z13:Z87)</f>
        <v>0</v>
      </c>
      <c r="AA88" s="48">
        <f>SUM(AA13:AA87)</f>
        <v>0</v>
      </c>
      <c r="AB88" s="48">
        <f>SUM(AB13:AB87)</f>
        <v>0</v>
      </c>
    </row>
  </sheetData>
  <sheetProtection/>
  <mergeCells count="49">
    <mergeCell ref="I4:I5"/>
    <mergeCell ref="J4:L5"/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8:I9"/>
    <mergeCell ref="J8:L9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D41:G41"/>
    <mergeCell ref="D44:G44"/>
    <mergeCell ref="H10:J10"/>
    <mergeCell ref="K10:L10"/>
    <mergeCell ref="D12:G12"/>
    <mergeCell ref="D15:G15"/>
    <mergeCell ref="D19:G19"/>
    <mergeCell ref="D24:G24"/>
    <mergeCell ref="D29:G29"/>
    <mergeCell ref="D31:G31"/>
    <mergeCell ref="D33:G33"/>
    <mergeCell ref="D37:G37"/>
    <mergeCell ref="D82:G82"/>
    <mergeCell ref="H88:I88"/>
    <mergeCell ref="D46:G46"/>
    <mergeCell ref="D50:G50"/>
    <mergeCell ref="D53:G53"/>
    <mergeCell ref="D59:G59"/>
    <mergeCell ref="D62:G62"/>
    <mergeCell ref="D64:G64"/>
    <mergeCell ref="D66:G66"/>
    <mergeCell ref="D70:G70"/>
    <mergeCell ref="D72:G72"/>
    <mergeCell ref="D75:G7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4" sqref="C4:D5"/>
    </sheetView>
  </sheetViews>
  <sheetFormatPr defaultColWidth="11.421875" defaultRowHeight="12.75"/>
  <cols>
    <col min="1" max="1" width="9.140625" style="20" customWidth="1"/>
    <col min="2" max="2" width="11.8515625" style="20" customWidth="1"/>
    <col min="3" max="3" width="21.7109375" style="20" customWidth="1"/>
    <col min="4" max="4" width="8.8515625" style="20" customWidth="1"/>
    <col min="5" max="5" width="14.00390625" style="20" customWidth="1"/>
    <col min="6" max="6" width="22.57421875" style="20" customWidth="1"/>
    <col min="7" max="7" width="9.140625" style="20" customWidth="1"/>
    <col min="8" max="8" width="11.8515625" style="20" customWidth="1"/>
    <col min="9" max="9" width="22.421875" style="20" customWidth="1"/>
    <col min="10" max="16384" width="11.421875" style="20" customWidth="1"/>
  </cols>
  <sheetData>
    <row r="1" spans="1:9" ht="28.5" customHeight="1">
      <c r="A1" s="131" t="s">
        <v>249</v>
      </c>
      <c r="B1" s="132"/>
      <c r="C1" s="132"/>
      <c r="D1" s="132"/>
      <c r="E1" s="132"/>
      <c r="F1" s="132"/>
      <c r="G1" s="132"/>
      <c r="H1" s="132"/>
      <c r="I1" s="132"/>
    </row>
    <row r="2" spans="1:10" ht="12.75">
      <c r="A2" s="133" t="s">
        <v>0</v>
      </c>
      <c r="B2" s="134"/>
      <c r="C2" s="135" t="s">
        <v>36</v>
      </c>
      <c r="D2" s="136"/>
      <c r="E2" s="138" t="s">
        <v>38</v>
      </c>
      <c r="F2" s="138"/>
      <c r="G2" s="134"/>
      <c r="H2" s="138" t="s">
        <v>250</v>
      </c>
      <c r="I2" s="139"/>
      <c r="J2" s="21"/>
    </row>
    <row r="3" spans="1:10" ht="12.75">
      <c r="A3" s="127"/>
      <c r="B3" s="121"/>
      <c r="C3" s="137"/>
      <c r="D3" s="137"/>
      <c r="E3" s="121"/>
      <c r="F3" s="121"/>
      <c r="G3" s="121"/>
      <c r="H3" s="121"/>
      <c r="I3" s="130"/>
      <c r="J3" s="21"/>
    </row>
    <row r="4" spans="1:10" ht="12.75">
      <c r="A4" s="120" t="s">
        <v>12</v>
      </c>
      <c r="B4" s="121"/>
      <c r="C4" s="124" t="s">
        <v>332</v>
      </c>
      <c r="D4" s="121"/>
      <c r="E4" s="124" t="s">
        <v>40</v>
      </c>
      <c r="F4" s="124"/>
      <c r="G4" s="121"/>
      <c r="H4" s="124" t="s">
        <v>250</v>
      </c>
      <c r="I4" s="129"/>
      <c r="J4" s="21"/>
    </row>
    <row r="5" spans="1:10" ht="12.75">
      <c r="A5" s="127"/>
      <c r="B5" s="121"/>
      <c r="C5" s="121"/>
      <c r="D5" s="121"/>
      <c r="E5" s="121"/>
      <c r="F5" s="121"/>
      <c r="G5" s="121"/>
      <c r="H5" s="121"/>
      <c r="I5" s="130"/>
      <c r="J5" s="21"/>
    </row>
    <row r="6" spans="1:10" ht="12.75">
      <c r="A6" s="120" t="s">
        <v>41</v>
      </c>
      <c r="B6" s="121"/>
      <c r="C6" s="124" t="s">
        <v>42</v>
      </c>
      <c r="D6" s="121"/>
      <c r="E6" s="124" t="s">
        <v>44</v>
      </c>
      <c r="F6" s="124"/>
      <c r="G6" s="121"/>
      <c r="H6" s="124" t="s">
        <v>250</v>
      </c>
      <c r="I6" s="129"/>
      <c r="J6" s="21"/>
    </row>
    <row r="7" spans="1:10" ht="12.75">
      <c r="A7" s="127"/>
      <c r="B7" s="121"/>
      <c r="C7" s="121"/>
      <c r="D7" s="121"/>
      <c r="E7" s="121"/>
      <c r="F7" s="121"/>
      <c r="G7" s="121"/>
      <c r="H7" s="121"/>
      <c r="I7" s="130"/>
      <c r="J7" s="21"/>
    </row>
    <row r="8" spans="1:10" ht="12.75">
      <c r="A8" s="120" t="s">
        <v>39</v>
      </c>
      <c r="B8" s="121"/>
      <c r="C8" s="128"/>
      <c r="D8" s="121"/>
      <c r="E8" s="124" t="s">
        <v>43</v>
      </c>
      <c r="F8" s="121"/>
      <c r="G8" s="121"/>
      <c r="H8" s="124" t="s">
        <v>251</v>
      </c>
      <c r="I8" s="129" t="s">
        <v>185</v>
      </c>
      <c r="J8" s="21"/>
    </row>
    <row r="9" spans="1:10" ht="12.75">
      <c r="A9" s="127"/>
      <c r="B9" s="121"/>
      <c r="C9" s="121"/>
      <c r="D9" s="121"/>
      <c r="E9" s="121"/>
      <c r="F9" s="121"/>
      <c r="G9" s="121"/>
      <c r="H9" s="121"/>
      <c r="I9" s="130"/>
      <c r="J9" s="21"/>
    </row>
    <row r="10" spans="1:10" ht="12.75">
      <c r="A10" s="120" t="s">
        <v>45</v>
      </c>
      <c r="B10" s="121"/>
      <c r="C10" s="124"/>
      <c r="D10" s="121"/>
      <c r="E10" s="124" t="s">
        <v>47</v>
      </c>
      <c r="F10" s="124" t="s">
        <v>27</v>
      </c>
      <c r="G10" s="121"/>
      <c r="H10" s="124" t="s">
        <v>252</v>
      </c>
      <c r="I10" s="125">
        <v>41281</v>
      </c>
      <c r="J10" s="21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6"/>
      <c r="J11" s="21"/>
    </row>
    <row r="12" spans="1:9" ht="23.25" customHeight="1">
      <c r="A12" s="116" t="s">
        <v>253</v>
      </c>
      <c r="B12" s="117"/>
      <c r="C12" s="117"/>
      <c r="D12" s="117"/>
      <c r="E12" s="117"/>
      <c r="F12" s="117"/>
      <c r="G12" s="117"/>
      <c r="H12" s="117"/>
      <c r="I12" s="117"/>
    </row>
    <row r="13" spans="1:10" ht="26.25" customHeight="1">
      <c r="A13" s="49" t="s">
        <v>254</v>
      </c>
      <c r="B13" s="118" t="s">
        <v>255</v>
      </c>
      <c r="C13" s="119"/>
      <c r="D13" s="49" t="s">
        <v>256</v>
      </c>
      <c r="E13" s="118" t="s">
        <v>257</v>
      </c>
      <c r="F13" s="119"/>
      <c r="G13" s="49" t="s">
        <v>258</v>
      </c>
      <c r="H13" s="118" t="s">
        <v>259</v>
      </c>
      <c r="I13" s="119"/>
      <c r="J13" s="21"/>
    </row>
    <row r="14" spans="1:10" ht="15" customHeight="1">
      <c r="A14" s="50" t="s">
        <v>260</v>
      </c>
      <c r="B14" s="51" t="s">
        <v>261</v>
      </c>
      <c r="C14" s="52">
        <f>SUM('02-RZP'!R12:R60)</f>
        <v>0</v>
      </c>
      <c r="D14" s="114" t="s">
        <v>262</v>
      </c>
      <c r="E14" s="115"/>
      <c r="F14" s="52">
        <v>0</v>
      </c>
      <c r="G14" s="114" t="s">
        <v>263</v>
      </c>
      <c r="H14" s="115"/>
      <c r="I14" s="52">
        <f>ROUND(C22*(2.3/100),2)</f>
        <v>0</v>
      </c>
      <c r="J14" s="21"/>
    </row>
    <row r="15" spans="1:10" ht="15" customHeight="1">
      <c r="A15" s="53"/>
      <c r="B15" s="51" t="s">
        <v>60</v>
      </c>
      <c r="C15" s="52">
        <f>SUM('02-RZP'!S12:S60)</f>
        <v>0</v>
      </c>
      <c r="D15" s="114" t="s">
        <v>264</v>
      </c>
      <c r="E15" s="115"/>
      <c r="F15" s="52">
        <v>0</v>
      </c>
      <c r="G15" s="114" t="s">
        <v>265</v>
      </c>
      <c r="H15" s="115"/>
      <c r="I15" s="52">
        <v>0</v>
      </c>
      <c r="J15" s="21"/>
    </row>
    <row r="16" spans="1:10" ht="15" customHeight="1">
      <c r="A16" s="50" t="s">
        <v>266</v>
      </c>
      <c r="B16" s="51" t="s">
        <v>261</v>
      </c>
      <c r="C16" s="52">
        <f>SUM('02-RZP'!T12:T60)</f>
        <v>0</v>
      </c>
      <c r="D16" s="114" t="s">
        <v>267</v>
      </c>
      <c r="E16" s="115"/>
      <c r="F16" s="52">
        <v>0</v>
      </c>
      <c r="G16" s="114" t="s">
        <v>268</v>
      </c>
      <c r="H16" s="115"/>
      <c r="I16" s="52">
        <v>0</v>
      </c>
      <c r="J16" s="21"/>
    </row>
    <row r="17" spans="1:10" ht="15" customHeight="1">
      <c r="A17" s="53"/>
      <c r="B17" s="51" t="s">
        <v>60</v>
      </c>
      <c r="C17" s="52">
        <f>SUM('02-RZP'!U12:U60)</f>
        <v>0</v>
      </c>
      <c r="D17" s="114"/>
      <c r="E17" s="115"/>
      <c r="F17" s="54"/>
      <c r="G17" s="114" t="s">
        <v>269</v>
      </c>
      <c r="H17" s="115"/>
      <c r="I17" s="52">
        <v>0</v>
      </c>
      <c r="J17" s="21"/>
    </row>
    <row r="18" spans="1:10" ht="15" customHeight="1">
      <c r="A18" s="50" t="s">
        <v>270</v>
      </c>
      <c r="B18" s="51" t="s">
        <v>261</v>
      </c>
      <c r="C18" s="52">
        <f>SUM('02-RZP'!V12:V60)</f>
        <v>0</v>
      </c>
      <c r="D18" s="114"/>
      <c r="E18" s="115"/>
      <c r="F18" s="54"/>
      <c r="G18" s="114" t="s">
        <v>271</v>
      </c>
      <c r="H18" s="115"/>
      <c r="I18" s="52">
        <v>0</v>
      </c>
      <c r="J18" s="21"/>
    </row>
    <row r="19" spans="1:10" ht="15" customHeight="1">
      <c r="A19" s="53"/>
      <c r="B19" s="51" t="s">
        <v>60</v>
      </c>
      <c r="C19" s="52">
        <f>SUM('02-RZP'!W12:W60)</f>
        <v>0</v>
      </c>
      <c r="D19" s="114"/>
      <c r="E19" s="115"/>
      <c r="F19" s="54"/>
      <c r="G19" s="114" t="s">
        <v>272</v>
      </c>
      <c r="H19" s="115"/>
      <c r="I19" s="52">
        <v>0</v>
      </c>
      <c r="J19" s="21"/>
    </row>
    <row r="20" spans="1:10" ht="15" customHeight="1">
      <c r="A20" s="112" t="s">
        <v>273</v>
      </c>
      <c r="B20" s="113"/>
      <c r="C20" s="52">
        <f>SUM('02-RZP'!X12:X60)</f>
        <v>0</v>
      </c>
      <c r="D20" s="114"/>
      <c r="E20" s="115"/>
      <c r="F20" s="54"/>
      <c r="G20" s="114"/>
      <c r="H20" s="115"/>
      <c r="I20" s="54"/>
      <c r="J20" s="21"/>
    </row>
    <row r="21" spans="1:10" ht="15" customHeight="1">
      <c r="A21" s="112" t="s">
        <v>274</v>
      </c>
      <c r="B21" s="113"/>
      <c r="C21" s="52">
        <f>SUM('02-RZP'!P12:P60)</f>
        <v>0</v>
      </c>
      <c r="D21" s="114"/>
      <c r="E21" s="115"/>
      <c r="F21" s="54"/>
      <c r="G21" s="114"/>
      <c r="H21" s="115"/>
      <c r="I21" s="54"/>
      <c r="J21" s="21"/>
    </row>
    <row r="22" spans="1:10" ht="16.5" customHeight="1">
      <c r="A22" s="112" t="s">
        <v>275</v>
      </c>
      <c r="B22" s="113"/>
      <c r="C22" s="52">
        <f>SUM(C14:C21)</f>
        <v>0</v>
      </c>
      <c r="D22" s="112" t="s">
        <v>276</v>
      </c>
      <c r="E22" s="113"/>
      <c r="F22" s="52">
        <f>SUM(F14:F21)</f>
        <v>0</v>
      </c>
      <c r="G22" s="112" t="s">
        <v>277</v>
      </c>
      <c r="H22" s="113"/>
      <c r="I22" s="52">
        <f>SUM(I14:I21)</f>
        <v>0</v>
      </c>
      <c r="J22" s="21"/>
    </row>
    <row r="23" spans="1:9" ht="12.75">
      <c r="A23" s="55"/>
      <c r="B23" s="55"/>
      <c r="C23" s="55"/>
      <c r="D23" s="46"/>
      <c r="E23" s="46"/>
      <c r="F23" s="46"/>
      <c r="G23" s="46"/>
      <c r="H23" s="46"/>
      <c r="I23" s="46"/>
    </row>
    <row r="24" spans="1:9" ht="15" customHeight="1">
      <c r="A24" s="110" t="s">
        <v>278</v>
      </c>
      <c r="B24" s="111"/>
      <c r="C24" s="56">
        <f>SUM('02-RZP'!Z12:Z60)</f>
        <v>0</v>
      </c>
      <c r="D24" s="57"/>
      <c r="E24" s="58"/>
      <c r="F24" s="58"/>
      <c r="G24" s="58"/>
      <c r="H24" s="58"/>
      <c r="I24" s="58"/>
    </row>
    <row r="25" spans="1:10" ht="15" customHeight="1">
      <c r="A25" s="110" t="s">
        <v>279</v>
      </c>
      <c r="B25" s="111"/>
      <c r="C25" s="56">
        <f>SUM('02-RZP'!AA12:AA60)</f>
        <v>0</v>
      </c>
      <c r="D25" s="110" t="s">
        <v>329</v>
      </c>
      <c r="E25" s="111"/>
      <c r="F25" s="56">
        <f>ROUND(C25*(10/100),2)</f>
        <v>0</v>
      </c>
      <c r="G25" s="110" t="s">
        <v>280</v>
      </c>
      <c r="H25" s="111"/>
      <c r="I25" s="56">
        <f>SUM(C24:C26)</f>
        <v>0</v>
      </c>
      <c r="J25" s="21"/>
    </row>
    <row r="26" spans="1:10" ht="15" customHeight="1">
      <c r="A26" s="110" t="s">
        <v>281</v>
      </c>
      <c r="B26" s="111"/>
      <c r="C26" s="56">
        <f>SUM('02-RZP'!AB12:AB60)+(F22+I22)</f>
        <v>0</v>
      </c>
      <c r="D26" s="110" t="s">
        <v>328</v>
      </c>
      <c r="E26" s="111"/>
      <c r="F26" s="56">
        <f>ROUND(C26*(21/100),2)</f>
        <v>0</v>
      </c>
      <c r="G26" s="110" t="s">
        <v>282</v>
      </c>
      <c r="H26" s="111"/>
      <c r="I26" s="56">
        <f>SUM(F25:F26)+I25</f>
        <v>0</v>
      </c>
      <c r="J26" s="21"/>
    </row>
    <row r="27" spans="1:9" ht="13.5" thickBot="1">
      <c r="A27" s="59"/>
      <c r="B27" s="59"/>
      <c r="C27" s="59"/>
      <c r="D27" s="59"/>
      <c r="E27" s="59"/>
      <c r="F27" s="59"/>
      <c r="G27" s="59"/>
      <c r="H27" s="59"/>
      <c r="I27" s="59"/>
    </row>
    <row r="28" spans="1:10" ht="14.25" customHeight="1">
      <c r="A28" s="107" t="s">
        <v>283</v>
      </c>
      <c r="B28" s="108"/>
      <c r="C28" s="109"/>
      <c r="D28" s="107" t="s">
        <v>284</v>
      </c>
      <c r="E28" s="108"/>
      <c r="F28" s="109"/>
      <c r="G28" s="107" t="s">
        <v>285</v>
      </c>
      <c r="H28" s="108"/>
      <c r="I28" s="109"/>
      <c r="J28" s="26"/>
    </row>
    <row r="29" spans="1:10" ht="14.25" customHeight="1">
      <c r="A29" s="104"/>
      <c r="B29" s="105"/>
      <c r="C29" s="106"/>
      <c r="D29" s="104"/>
      <c r="E29" s="105"/>
      <c r="F29" s="106"/>
      <c r="G29" s="104"/>
      <c r="H29" s="105"/>
      <c r="I29" s="106"/>
      <c r="J29" s="26"/>
    </row>
    <row r="30" spans="1:10" ht="14.25" customHeight="1">
      <c r="A30" s="104"/>
      <c r="B30" s="105"/>
      <c r="C30" s="106"/>
      <c r="D30" s="104"/>
      <c r="E30" s="105"/>
      <c r="F30" s="106"/>
      <c r="G30" s="104"/>
      <c r="H30" s="105"/>
      <c r="I30" s="106"/>
      <c r="J30" s="26"/>
    </row>
    <row r="31" spans="1:10" ht="14.25" customHeight="1">
      <c r="A31" s="104"/>
      <c r="B31" s="105"/>
      <c r="C31" s="106"/>
      <c r="D31" s="104"/>
      <c r="E31" s="105"/>
      <c r="F31" s="106"/>
      <c r="G31" s="104"/>
      <c r="H31" s="105"/>
      <c r="I31" s="106"/>
      <c r="J31" s="26"/>
    </row>
    <row r="32" spans="1:10" ht="14.25" customHeight="1" thickBot="1">
      <c r="A32" s="101" t="s">
        <v>286</v>
      </c>
      <c r="B32" s="102"/>
      <c r="C32" s="103"/>
      <c r="D32" s="101" t="s">
        <v>286</v>
      </c>
      <c r="E32" s="102"/>
      <c r="F32" s="103"/>
      <c r="G32" s="101" t="s">
        <v>286</v>
      </c>
      <c r="H32" s="102"/>
      <c r="I32" s="103"/>
      <c r="J32" s="26"/>
    </row>
    <row r="33" spans="1:9" ht="12.75">
      <c r="A33" s="60"/>
      <c r="B33" s="60"/>
      <c r="C33" s="60"/>
      <c r="D33" s="60"/>
      <c r="E33" s="60"/>
      <c r="F33" s="60"/>
      <c r="G33" s="60"/>
      <c r="H33" s="60"/>
      <c r="I33" s="60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selection activeCell="D4" sqref="D4:D5"/>
    </sheetView>
  </sheetViews>
  <sheetFormatPr defaultColWidth="11.421875" defaultRowHeight="12.75"/>
  <cols>
    <col min="1" max="2" width="3.7109375" style="20" customWidth="1"/>
    <col min="3" max="3" width="13.28125" style="20" customWidth="1"/>
    <col min="4" max="4" width="34.140625" style="20" customWidth="1"/>
    <col min="5" max="5" width="4.28125" style="20" customWidth="1"/>
    <col min="6" max="6" width="10.8515625" style="20" customWidth="1"/>
    <col min="7" max="7" width="12.00390625" style="20" customWidth="1"/>
    <col min="8" max="9" width="13.140625" style="20" customWidth="1"/>
    <col min="10" max="10" width="13.28125" style="20" customWidth="1"/>
    <col min="11" max="12" width="11.7109375" style="20" customWidth="1"/>
    <col min="13" max="13" width="11.421875" style="20" customWidth="1"/>
    <col min="14" max="37" width="12.140625" style="20" hidden="1" customWidth="1"/>
    <col min="38" max="16384" width="11.421875" style="20" customWidth="1"/>
  </cols>
  <sheetData>
    <row r="1" spans="1:12" ht="21.75" customHeight="1">
      <c r="A1" s="151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ht="12.75">
      <c r="A2" s="133" t="s">
        <v>0</v>
      </c>
      <c r="B2" s="134"/>
      <c r="C2" s="134"/>
      <c r="D2" s="135" t="s">
        <v>36</v>
      </c>
      <c r="E2" s="138" t="s">
        <v>37</v>
      </c>
      <c r="F2" s="134"/>
      <c r="G2" s="138"/>
      <c r="H2" s="134"/>
      <c r="I2" s="138" t="s">
        <v>38</v>
      </c>
      <c r="J2" s="138"/>
      <c r="K2" s="134"/>
      <c r="L2" s="153"/>
      <c r="M2" s="21"/>
    </row>
    <row r="3" spans="1:13" ht="12.75">
      <c r="A3" s="127"/>
      <c r="B3" s="121"/>
      <c r="C3" s="121"/>
      <c r="D3" s="137"/>
      <c r="E3" s="121"/>
      <c r="F3" s="121"/>
      <c r="G3" s="121"/>
      <c r="H3" s="121"/>
      <c r="I3" s="121"/>
      <c r="J3" s="121"/>
      <c r="K3" s="121"/>
      <c r="L3" s="130"/>
      <c r="M3" s="21"/>
    </row>
    <row r="4" spans="1:13" ht="12.75">
      <c r="A4" s="120" t="s">
        <v>12</v>
      </c>
      <c r="B4" s="121"/>
      <c r="C4" s="121"/>
      <c r="D4" s="124" t="s">
        <v>332</v>
      </c>
      <c r="E4" s="124" t="s">
        <v>39</v>
      </c>
      <c r="F4" s="121"/>
      <c r="G4" s="128"/>
      <c r="H4" s="121"/>
      <c r="I4" s="124" t="s">
        <v>40</v>
      </c>
      <c r="J4" s="124"/>
      <c r="K4" s="121"/>
      <c r="L4" s="130"/>
      <c r="M4" s="21"/>
    </row>
    <row r="5" spans="1:13" ht="12.75">
      <c r="A5" s="127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30"/>
      <c r="M5" s="21"/>
    </row>
    <row r="6" spans="1:13" ht="12.75">
      <c r="A6" s="120" t="s">
        <v>41</v>
      </c>
      <c r="B6" s="121"/>
      <c r="C6" s="121"/>
      <c r="D6" s="124" t="s">
        <v>42</v>
      </c>
      <c r="E6" s="124" t="s">
        <v>43</v>
      </c>
      <c r="F6" s="121"/>
      <c r="G6" s="121"/>
      <c r="H6" s="121"/>
      <c r="I6" s="124" t="s">
        <v>44</v>
      </c>
      <c r="J6" s="124"/>
      <c r="K6" s="121"/>
      <c r="L6" s="130"/>
      <c r="M6" s="21"/>
    </row>
    <row r="7" spans="1:13" ht="12.75">
      <c r="A7" s="127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30"/>
      <c r="M7" s="21"/>
    </row>
    <row r="8" spans="1:13" ht="12.75">
      <c r="A8" s="120" t="s">
        <v>45</v>
      </c>
      <c r="B8" s="121"/>
      <c r="C8" s="121"/>
      <c r="D8" s="124"/>
      <c r="E8" s="124" t="s">
        <v>46</v>
      </c>
      <c r="F8" s="121"/>
      <c r="G8" s="128">
        <v>41281</v>
      </c>
      <c r="H8" s="121"/>
      <c r="I8" s="124" t="s">
        <v>47</v>
      </c>
      <c r="J8" s="124" t="s">
        <v>27</v>
      </c>
      <c r="K8" s="121"/>
      <c r="L8" s="130"/>
      <c r="M8" s="21"/>
    </row>
    <row r="9" spans="1:13" ht="13.5" thickBo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50"/>
      <c r="M9" s="21"/>
    </row>
    <row r="10" spans="1:13" ht="12.75">
      <c r="A10" s="23" t="s">
        <v>48</v>
      </c>
      <c r="B10" s="24" t="s">
        <v>48</v>
      </c>
      <c r="C10" s="24" t="s">
        <v>48</v>
      </c>
      <c r="D10" s="24" t="s">
        <v>48</v>
      </c>
      <c r="E10" s="24" t="s">
        <v>48</v>
      </c>
      <c r="F10" s="24" t="s">
        <v>48</v>
      </c>
      <c r="G10" s="25" t="s">
        <v>49</v>
      </c>
      <c r="H10" s="142" t="s">
        <v>50</v>
      </c>
      <c r="I10" s="143"/>
      <c r="J10" s="144"/>
      <c r="K10" s="142" t="s">
        <v>51</v>
      </c>
      <c r="L10" s="144"/>
      <c r="M10" s="26"/>
    </row>
    <row r="11" spans="1:24" ht="13.5" thickBot="1">
      <c r="A11" s="27" t="s">
        <v>52</v>
      </c>
      <c r="B11" s="28" t="s">
        <v>53</v>
      </c>
      <c r="C11" s="28" t="s">
        <v>54</v>
      </c>
      <c r="D11" s="28" t="s">
        <v>55</v>
      </c>
      <c r="E11" s="28" t="s">
        <v>56</v>
      </c>
      <c r="F11" s="29" t="s">
        <v>57</v>
      </c>
      <c r="G11" s="30" t="s">
        <v>58</v>
      </c>
      <c r="H11" s="31" t="s">
        <v>59</v>
      </c>
      <c r="I11" s="32" t="s">
        <v>60</v>
      </c>
      <c r="J11" s="33" t="s">
        <v>61</v>
      </c>
      <c r="K11" s="31" t="s">
        <v>49</v>
      </c>
      <c r="L11" s="33" t="s">
        <v>61</v>
      </c>
      <c r="M11" s="26"/>
      <c r="P11" s="34" t="s">
        <v>62</v>
      </c>
      <c r="Q11" s="34" t="s">
        <v>63</v>
      </c>
      <c r="R11" s="34" t="s">
        <v>64</v>
      </c>
      <c r="S11" s="34" t="s">
        <v>65</v>
      </c>
      <c r="T11" s="34" t="s">
        <v>66</v>
      </c>
      <c r="U11" s="34" t="s">
        <v>67</v>
      </c>
      <c r="V11" s="34" t="s">
        <v>68</v>
      </c>
      <c r="W11" s="34" t="s">
        <v>69</v>
      </c>
      <c r="X11" s="34" t="s">
        <v>70</v>
      </c>
    </row>
    <row r="12" spans="1:37" ht="12.75">
      <c r="A12" s="35"/>
      <c r="B12" s="35"/>
      <c r="C12" s="36" t="s">
        <v>149</v>
      </c>
      <c r="D12" s="145" t="s">
        <v>302</v>
      </c>
      <c r="E12" s="146"/>
      <c r="F12" s="146"/>
      <c r="G12" s="146"/>
      <c r="H12" s="37">
        <f>SUM(H13:H14)</f>
        <v>0</v>
      </c>
      <c r="I12" s="37">
        <f>SUM(I13:I14)</f>
        <v>0</v>
      </c>
      <c r="J12" s="37">
        <f>H12+I12</f>
        <v>0</v>
      </c>
      <c r="K12" s="38"/>
      <c r="L12" s="37">
        <f>SUM(L13:L14)</f>
        <v>0.09943</v>
      </c>
      <c r="P12" s="39">
        <f>IF(Q12="PR",J12,SUM(O13:O14))</f>
        <v>0</v>
      </c>
      <c r="Q12" s="34" t="s">
        <v>73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34"/>
      <c r="AI12" s="39">
        <f>SUM(Z13:Z14)</f>
        <v>0</v>
      </c>
      <c r="AJ12" s="39">
        <f>SUM(AA13:AA14)</f>
        <v>0</v>
      </c>
      <c r="AK12" s="39">
        <f>SUM(AB13:AB14)</f>
        <v>0</v>
      </c>
    </row>
    <row r="13" spans="1:32" ht="12.75">
      <c r="A13" s="22" t="s">
        <v>74</v>
      </c>
      <c r="B13" s="22"/>
      <c r="C13" s="22" t="s">
        <v>303</v>
      </c>
      <c r="D13" s="22" t="s">
        <v>304</v>
      </c>
      <c r="E13" s="22" t="s">
        <v>125</v>
      </c>
      <c r="F13" s="40">
        <v>1</v>
      </c>
      <c r="G13" s="40"/>
      <c r="H13" s="40">
        <f>ROUND(F13*AE13,2)</f>
        <v>0</v>
      </c>
      <c r="I13" s="40">
        <f>J13-H13</f>
        <v>0</v>
      </c>
      <c r="J13" s="40">
        <f>ROUND(F13*G13,2)</f>
        <v>0</v>
      </c>
      <c r="K13" s="40">
        <v>0</v>
      </c>
      <c r="L13" s="40">
        <f>F13*K13</f>
        <v>0</v>
      </c>
      <c r="N13" s="41" t="s">
        <v>74</v>
      </c>
      <c r="O13" s="40">
        <f>IF(N13="5",I13,0)</f>
        <v>0</v>
      </c>
      <c r="Z13" s="40">
        <f>IF(AD13=0,J13,0)</f>
        <v>0</v>
      </c>
      <c r="AA13" s="40">
        <f>IF(AD13=10,J13,0)</f>
        <v>0</v>
      </c>
      <c r="AB13" s="40">
        <f>IF(AD13=20,J13,0)</f>
        <v>0</v>
      </c>
      <c r="AD13" s="40">
        <v>20</v>
      </c>
      <c r="AE13" s="40">
        <f>G13*0</f>
        <v>0</v>
      </c>
      <c r="AF13" s="40">
        <f>G13*(1-0)</f>
        <v>0</v>
      </c>
    </row>
    <row r="14" spans="1:32" ht="12.75">
      <c r="A14" s="22" t="s">
        <v>78</v>
      </c>
      <c r="B14" s="22"/>
      <c r="C14" s="22" t="s">
        <v>305</v>
      </c>
      <c r="D14" s="22" t="s">
        <v>306</v>
      </c>
      <c r="E14" s="22" t="s">
        <v>125</v>
      </c>
      <c r="F14" s="40">
        <v>1</v>
      </c>
      <c r="G14" s="40"/>
      <c r="H14" s="40">
        <f>ROUND(F14*AE14,2)</f>
        <v>0</v>
      </c>
      <c r="I14" s="40">
        <f>J14-H14</f>
        <v>0</v>
      </c>
      <c r="J14" s="40">
        <f>ROUND(F14*G14,2)</f>
        <v>0</v>
      </c>
      <c r="K14" s="40">
        <v>0.09943</v>
      </c>
      <c r="L14" s="40">
        <f>F14*K14</f>
        <v>0.09943</v>
      </c>
      <c r="N14" s="41" t="s">
        <v>74</v>
      </c>
      <c r="O14" s="40">
        <f>IF(N14="5",I14,0)</f>
        <v>0</v>
      </c>
      <c r="Z14" s="40">
        <f>IF(AD14=0,J14,0)</f>
        <v>0</v>
      </c>
      <c r="AA14" s="40">
        <f>IF(AD14=10,J14,0)</f>
        <v>0</v>
      </c>
      <c r="AB14" s="40">
        <f>IF(AD14=20,J14,0)</f>
        <v>0</v>
      </c>
      <c r="AD14" s="40">
        <v>20</v>
      </c>
      <c r="AE14" s="40">
        <f>G14*0.273570857041252</f>
        <v>0</v>
      </c>
      <c r="AF14" s="40">
        <f>G14*(1-0.273570857041252)</f>
        <v>0</v>
      </c>
    </row>
    <row r="15" spans="1:37" ht="12.75">
      <c r="A15" s="42"/>
      <c r="B15" s="42"/>
      <c r="C15" s="43" t="s">
        <v>113</v>
      </c>
      <c r="D15" s="140" t="s">
        <v>114</v>
      </c>
      <c r="E15" s="141"/>
      <c r="F15" s="141"/>
      <c r="G15" s="141"/>
      <c r="H15" s="39">
        <f>SUM(H16:H19)</f>
        <v>0</v>
      </c>
      <c r="I15" s="39">
        <f>SUM(I16:I19)</f>
        <v>0</v>
      </c>
      <c r="J15" s="39">
        <f>H15+I15</f>
        <v>0</v>
      </c>
      <c r="K15" s="34"/>
      <c r="L15" s="39">
        <f>SUM(L16:L19)</f>
        <v>9.377385</v>
      </c>
      <c r="P15" s="39">
        <f>IF(Q15="PR",J15,SUM(O16:O19))</f>
        <v>0</v>
      </c>
      <c r="Q15" s="34" t="s">
        <v>73</v>
      </c>
      <c r="R15" s="39">
        <f>IF(Q15="HS",H15,0)</f>
        <v>0</v>
      </c>
      <c r="S15" s="39">
        <f>IF(Q15="HS",I15-P15,0)</f>
        <v>0</v>
      </c>
      <c r="T15" s="39">
        <f>IF(Q15="PS",H15,0)</f>
        <v>0</v>
      </c>
      <c r="U15" s="39">
        <f>IF(Q15="PS",I15-P15,0)</f>
        <v>0</v>
      </c>
      <c r="V15" s="39">
        <f>IF(Q15="MP",H15,0)</f>
        <v>0</v>
      </c>
      <c r="W15" s="39">
        <f>IF(Q15="MP",I15-P15,0)</f>
        <v>0</v>
      </c>
      <c r="X15" s="39">
        <f>IF(Q15="OM",H15,0)</f>
        <v>0</v>
      </c>
      <c r="Y15" s="34"/>
      <c r="AI15" s="39">
        <f>SUM(Z16:Z19)</f>
        <v>0</v>
      </c>
      <c r="AJ15" s="39">
        <f>SUM(AA16:AA19)</f>
        <v>0</v>
      </c>
      <c r="AK15" s="39">
        <f>SUM(AB16:AB19)</f>
        <v>0</v>
      </c>
    </row>
    <row r="16" spans="1:32" ht="12.75">
      <c r="A16" s="22" t="s">
        <v>83</v>
      </c>
      <c r="B16" s="22"/>
      <c r="C16" s="22" t="s">
        <v>115</v>
      </c>
      <c r="D16" s="22" t="s">
        <v>116</v>
      </c>
      <c r="E16" s="22" t="s">
        <v>77</v>
      </c>
      <c r="F16" s="40">
        <v>3.23</v>
      </c>
      <c r="G16" s="40"/>
      <c r="H16" s="40">
        <f>ROUND(F16*AE16,2)</f>
        <v>0</v>
      </c>
      <c r="I16" s="40">
        <f>J16-H16</f>
        <v>0</v>
      </c>
      <c r="J16" s="40">
        <f>ROUND(F16*G16,2)</f>
        <v>0</v>
      </c>
      <c r="K16" s="40">
        <v>2.47494</v>
      </c>
      <c r="L16" s="40">
        <f>F16*K16</f>
        <v>7.9940562</v>
      </c>
      <c r="N16" s="41" t="s">
        <v>74</v>
      </c>
      <c r="O16" s="40">
        <f>IF(N16="5",I16,0)</f>
        <v>0</v>
      </c>
      <c r="Z16" s="40">
        <f>IF(AD16=0,J16,0)</f>
        <v>0</v>
      </c>
      <c r="AA16" s="40">
        <f>IF(AD16=10,J16,0)</f>
        <v>0</v>
      </c>
      <c r="AB16" s="40">
        <f>IF(AD16=20,J16,0)</f>
        <v>0</v>
      </c>
      <c r="AD16" s="40">
        <v>20</v>
      </c>
      <c r="AE16" s="40">
        <f>G16*0.951372648096114</f>
        <v>0</v>
      </c>
      <c r="AF16" s="40">
        <f>G16*(1-0.951372648096114)</f>
        <v>0</v>
      </c>
    </row>
    <row r="17" spans="1:32" ht="12.75">
      <c r="A17" s="22" t="s">
        <v>86</v>
      </c>
      <c r="B17" s="22"/>
      <c r="C17" s="22" t="s">
        <v>118</v>
      </c>
      <c r="D17" s="22" t="s">
        <v>119</v>
      </c>
      <c r="E17" s="22" t="s">
        <v>110</v>
      </c>
      <c r="F17" s="40">
        <v>35.28</v>
      </c>
      <c r="G17" s="40"/>
      <c r="H17" s="40">
        <f>ROUND(F17*AE17,2)</f>
        <v>0</v>
      </c>
      <c r="I17" s="40">
        <f>J17-H17</f>
        <v>0</v>
      </c>
      <c r="J17" s="40">
        <f>ROUND(F17*G17,2)</f>
        <v>0</v>
      </c>
      <c r="K17" s="40">
        <v>0.03921</v>
      </c>
      <c r="L17" s="40">
        <f>F17*K17</f>
        <v>1.3833288000000001</v>
      </c>
      <c r="N17" s="41" t="s">
        <v>74</v>
      </c>
      <c r="O17" s="40">
        <f>IF(N17="5",I17,0)</f>
        <v>0</v>
      </c>
      <c r="Z17" s="40">
        <f>IF(AD17=0,J17,0)</f>
        <v>0</v>
      </c>
      <c r="AA17" s="40">
        <f>IF(AD17=10,J17,0)</f>
        <v>0</v>
      </c>
      <c r="AB17" s="40">
        <f>IF(AD17=20,J17,0)</f>
        <v>0</v>
      </c>
      <c r="AD17" s="40">
        <v>20</v>
      </c>
      <c r="AE17" s="40">
        <f>G17*0.298631766805473</f>
        <v>0</v>
      </c>
      <c r="AF17" s="40">
        <f>G17*(1-0.298631766805473)</f>
        <v>0</v>
      </c>
    </row>
    <row r="18" spans="1:32" ht="12.75">
      <c r="A18" s="22" t="s">
        <v>89</v>
      </c>
      <c r="B18" s="22"/>
      <c r="C18" s="22" t="s">
        <v>121</v>
      </c>
      <c r="D18" s="22" t="s">
        <v>122</v>
      </c>
      <c r="E18" s="22" t="s">
        <v>110</v>
      </c>
      <c r="F18" s="40">
        <v>35.28</v>
      </c>
      <c r="G18" s="40"/>
      <c r="H18" s="40">
        <f>ROUND(F18*AE18,2)</f>
        <v>0</v>
      </c>
      <c r="I18" s="40">
        <f>J18-H18</f>
        <v>0</v>
      </c>
      <c r="J18" s="40">
        <f>ROUND(F18*G18,2)</f>
        <v>0</v>
      </c>
      <c r="K18" s="40">
        <v>0</v>
      </c>
      <c r="L18" s="40">
        <f>F18*K18</f>
        <v>0</v>
      </c>
      <c r="N18" s="41" t="s">
        <v>74</v>
      </c>
      <c r="O18" s="40">
        <f>IF(N18="5",I18,0)</f>
        <v>0</v>
      </c>
      <c r="Z18" s="40">
        <f>IF(AD18=0,J18,0)</f>
        <v>0</v>
      </c>
      <c r="AA18" s="40">
        <f>IF(AD18=10,J18,0)</f>
        <v>0</v>
      </c>
      <c r="AB18" s="40">
        <f>IF(AD18=20,J18,0)</f>
        <v>0</v>
      </c>
      <c r="AD18" s="40">
        <v>20</v>
      </c>
      <c r="AE18" s="40">
        <f>G18*0</f>
        <v>0</v>
      </c>
      <c r="AF18" s="40">
        <f>G18*(1-0)</f>
        <v>0</v>
      </c>
    </row>
    <row r="19" spans="1:32" ht="12.75">
      <c r="A19" s="22" t="s">
        <v>94</v>
      </c>
      <c r="B19" s="22"/>
      <c r="C19" s="22" t="s">
        <v>123</v>
      </c>
      <c r="D19" s="22" t="s">
        <v>307</v>
      </c>
      <c r="E19" s="22" t="s">
        <v>125</v>
      </c>
      <c r="F19" s="40">
        <v>9.37738</v>
      </c>
      <c r="G19" s="40"/>
      <c r="H19" s="40">
        <f>ROUND(F19*AE19,2)</f>
        <v>0</v>
      </c>
      <c r="I19" s="40">
        <f>J19-H19</f>
        <v>0</v>
      </c>
      <c r="J19" s="40">
        <f>ROUND(F19*G19,2)</f>
        <v>0</v>
      </c>
      <c r="K19" s="40">
        <v>0</v>
      </c>
      <c r="L19" s="40">
        <f>F19*K19</f>
        <v>0</v>
      </c>
      <c r="N19" s="41" t="s">
        <v>89</v>
      </c>
      <c r="O19" s="40">
        <f>IF(N19="5",I19,0)</f>
        <v>0</v>
      </c>
      <c r="Z19" s="40">
        <f>IF(AD19=0,J19,0)</f>
        <v>0</v>
      </c>
      <c r="AA19" s="40">
        <f>IF(AD19=10,J19,0)</f>
        <v>0</v>
      </c>
      <c r="AB19" s="40">
        <f>IF(AD19=20,J19,0)</f>
        <v>0</v>
      </c>
      <c r="AD19" s="40">
        <v>20</v>
      </c>
      <c r="AE19" s="40">
        <f>G19*0</f>
        <v>0</v>
      </c>
      <c r="AF19" s="40">
        <f>G19*(1-0)</f>
        <v>0</v>
      </c>
    </row>
    <row r="20" spans="1:37" ht="12.75">
      <c r="A20" s="42"/>
      <c r="B20" s="42"/>
      <c r="C20" s="43" t="s">
        <v>126</v>
      </c>
      <c r="D20" s="140" t="s">
        <v>127</v>
      </c>
      <c r="E20" s="141"/>
      <c r="F20" s="141"/>
      <c r="G20" s="141"/>
      <c r="H20" s="39">
        <f>SUM(H21:H21)</f>
        <v>0</v>
      </c>
      <c r="I20" s="39">
        <f>SUM(I21:I21)</f>
        <v>0</v>
      </c>
      <c r="J20" s="39">
        <f>H20+I20</f>
        <v>0</v>
      </c>
      <c r="K20" s="34"/>
      <c r="L20" s="39">
        <f>SUM(L21:L21)</f>
        <v>0.060272000000000006</v>
      </c>
      <c r="P20" s="39">
        <f>IF(Q20="PR",J20,SUM(O21:O21))</f>
        <v>0</v>
      </c>
      <c r="Q20" s="34" t="s">
        <v>73</v>
      </c>
      <c r="R20" s="39">
        <f>IF(Q20="HS",H20,0)</f>
        <v>0</v>
      </c>
      <c r="S20" s="39">
        <f>IF(Q20="HS",I20-P20,0)</f>
        <v>0</v>
      </c>
      <c r="T20" s="39">
        <f>IF(Q20="PS",H20,0)</f>
        <v>0</v>
      </c>
      <c r="U20" s="39">
        <f>IF(Q20="PS",I20-P20,0)</f>
        <v>0</v>
      </c>
      <c r="V20" s="39">
        <f>IF(Q20="MP",H20,0)</f>
        <v>0</v>
      </c>
      <c r="W20" s="39">
        <f>IF(Q20="MP",I20-P20,0)</f>
        <v>0</v>
      </c>
      <c r="X20" s="39">
        <f>IF(Q20="OM",H20,0)</f>
        <v>0</v>
      </c>
      <c r="Y20" s="34"/>
      <c r="AI20" s="39">
        <f>SUM(Z21:Z21)</f>
        <v>0</v>
      </c>
      <c r="AJ20" s="39">
        <f>SUM(AA21:AA21)</f>
        <v>0</v>
      </c>
      <c r="AK20" s="39">
        <f>SUM(AB21:AB21)</f>
        <v>0</v>
      </c>
    </row>
    <row r="21" spans="1:32" ht="12.75">
      <c r="A21" s="22" t="s">
        <v>97</v>
      </c>
      <c r="B21" s="22"/>
      <c r="C21" s="22" t="s">
        <v>128</v>
      </c>
      <c r="D21" s="22" t="s">
        <v>129</v>
      </c>
      <c r="E21" s="22" t="s">
        <v>110</v>
      </c>
      <c r="F21" s="40">
        <v>1.6</v>
      </c>
      <c r="G21" s="40"/>
      <c r="H21" s="40">
        <f>ROUND(F21*AE21,2)</f>
        <v>0</v>
      </c>
      <c r="I21" s="40">
        <f>J21-H21</f>
        <v>0</v>
      </c>
      <c r="J21" s="40">
        <f>ROUND(F21*G21,2)</f>
        <v>0</v>
      </c>
      <c r="K21" s="40">
        <v>0.03767</v>
      </c>
      <c r="L21" s="40">
        <f>F21*K21</f>
        <v>0.060272000000000006</v>
      </c>
      <c r="N21" s="41" t="s">
        <v>74</v>
      </c>
      <c r="O21" s="40">
        <f>IF(N21="5",I21,0)</f>
        <v>0</v>
      </c>
      <c r="Z21" s="40">
        <f>IF(AD21=0,J21,0)</f>
        <v>0</v>
      </c>
      <c r="AA21" s="40">
        <f>IF(AD21=10,J21,0)</f>
        <v>0</v>
      </c>
      <c r="AB21" s="40">
        <f>IF(AD21=20,J21,0)</f>
        <v>0</v>
      </c>
      <c r="AD21" s="40">
        <v>20</v>
      </c>
      <c r="AE21" s="40">
        <f>G21*0.257589942490304</f>
        <v>0</v>
      </c>
      <c r="AF21" s="40">
        <f>G21*(1-0.257589942490304)</f>
        <v>0</v>
      </c>
    </row>
    <row r="22" spans="1:37" ht="12.75">
      <c r="A22" s="42"/>
      <c r="B22" s="42"/>
      <c r="C22" s="43" t="s">
        <v>130</v>
      </c>
      <c r="D22" s="140" t="s">
        <v>131</v>
      </c>
      <c r="E22" s="141"/>
      <c r="F22" s="141"/>
      <c r="G22" s="141"/>
      <c r="H22" s="39">
        <f>SUM(H23:H24)</f>
        <v>0</v>
      </c>
      <c r="I22" s="39">
        <f>SUM(I23:I24)</f>
        <v>0</v>
      </c>
      <c r="J22" s="39">
        <f>H22+I22</f>
        <v>0</v>
      </c>
      <c r="K22" s="34"/>
      <c r="L22" s="39">
        <f>SUM(L23:L24)</f>
        <v>0</v>
      </c>
      <c r="P22" s="39">
        <f>IF(Q22="PR",J22,SUM(O23:O24))</f>
        <v>0</v>
      </c>
      <c r="Q22" s="34" t="s">
        <v>73</v>
      </c>
      <c r="R22" s="39">
        <f>IF(Q22="HS",H22,0)</f>
        <v>0</v>
      </c>
      <c r="S22" s="39">
        <f>IF(Q22="HS",I22-P22,0)</f>
        <v>0</v>
      </c>
      <c r="T22" s="39">
        <f>IF(Q22="PS",H22,0)</f>
        <v>0</v>
      </c>
      <c r="U22" s="39">
        <f>IF(Q22="PS",I22-P22,0)</f>
        <v>0</v>
      </c>
      <c r="V22" s="39">
        <f>IF(Q22="MP",H22,0)</f>
        <v>0</v>
      </c>
      <c r="W22" s="39">
        <f>IF(Q22="MP",I22-P22,0)</f>
        <v>0</v>
      </c>
      <c r="X22" s="39">
        <f>IF(Q22="OM",H22,0)</f>
        <v>0</v>
      </c>
      <c r="Y22" s="34"/>
      <c r="AI22" s="39">
        <f>SUM(Z23:Z24)</f>
        <v>0</v>
      </c>
      <c r="AJ22" s="39">
        <f>SUM(AA23:AA24)</f>
        <v>0</v>
      </c>
      <c r="AK22" s="39">
        <f>SUM(AB23:AB24)</f>
        <v>0</v>
      </c>
    </row>
    <row r="23" spans="1:32" ht="12.75">
      <c r="A23" s="22" t="s">
        <v>100</v>
      </c>
      <c r="B23" s="22"/>
      <c r="C23" s="22" t="s">
        <v>132</v>
      </c>
      <c r="D23" s="22" t="s">
        <v>133</v>
      </c>
      <c r="E23" s="22" t="s">
        <v>134</v>
      </c>
      <c r="F23" s="40">
        <v>21</v>
      </c>
      <c r="G23" s="40"/>
      <c r="H23" s="40">
        <f>ROUND(F23*AE23,2)</f>
        <v>0</v>
      </c>
      <c r="I23" s="40">
        <f>J23-H23</f>
        <v>0</v>
      </c>
      <c r="J23" s="40">
        <f>ROUND(F23*G23,2)</f>
        <v>0</v>
      </c>
      <c r="K23" s="40">
        <v>0</v>
      </c>
      <c r="L23" s="40">
        <f>F23*K23</f>
        <v>0</v>
      </c>
      <c r="N23" s="41" t="s">
        <v>74</v>
      </c>
      <c r="O23" s="40">
        <f>IF(N23="5",I23,0)</f>
        <v>0</v>
      </c>
      <c r="Z23" s="40">
        <f>IF(AD23=0,J23,0)</f>
        <v>0</v>
      </c>
      <c r="AA23" s="40">
        <f>IF(AD23=10,J23,0)</f>
        <v>0</v>
      </c>
      <c r="AB23" s="40">
        <f>IF(AD23=20,J23,0)</f>
        <v>0</v>
      </c>
      <c r="AD23" s="40">
        <v>20</v>
      </c>
      <c r="AE23" s="40">
        <f>G23*0</f>
        <v>0</v>
      </c>
      <c r="AF23" s="40">
        <f>G23*(1-0)</f>
        <v>0</v>
      </c>
    </row>
    <row r="24" spans="1:32" ht="12.75">
      <c r="A24" s="22" t="s">
        <v>105</v>
      </c>
      <c r="B24" s="22"/>
      <c r="C24" s="22" t="s">
        <v>308</v>
      </c>
      <c r="D24" s="22" t="s">
        <v>309</v>
      </c>
      <c r="E24" s="22" t="s">
        <v>125</v>
      </c>
      <c r="F24" s="40">
        <v>25.83</v>
      </c>
      <c r="G24" s="40"/>
      <c r="H24" s="40">
        <f>ROUND(F24*AE24,2)</f>
        <v>0</v>
      </c>
      <c r="I24" s="40">
        <f>J24-H24</f>
        <v>0</v>
      </c>
      <c r="J24" s="40">
        <f>ROUND(F24*G24,2)</f>
        <v>0</v>
      </c>
      <c r="K24" s="40">
        <v>0</v>
      </c>
      <c r="L24" s="40">
        <f>F24*K24</f>
        <v>0</v>
      </c>
      <c r="N24" s="41" t="s">
        <v>89</v>
      </c>
      <c r="O24" s="40">
        <f>IF(N24="5",I24,0)</f>
        <v>0</v>
      </c>
      <c r="Z24" s="40">
        <f>IF(AD24=0,J24,0)</f>
        <v>0</v>
      </c>
      <c r="AA24" s="40">
        <f>IF(AD24=10,J24,0)</f>
        <v>0</v>
      </c>
      <c r="AB24" s="40">
        <f>IF(AD24=20,J24,0)</f>
        <v>0</v>
      </c>
      <c r="AD24" s="40">
        <v>20</v>
      </c>
      <c r="AE24" s="40">
        <f>G24*0</f>
        <v>0</v>
      </c>
      <c r="AF24" s="40">
        <f>G24*(1-0)</f>
        <v>0</v>
      </c>
    </row>
    <row r="25" spans="1:37" ht="12.75">
      <c r="A25" s="42"/>
      <c r="B25" s="42"/>
      <c r="C25" s="43" t="s">
        <v>310</v>
      </c>
      <c r="D25" s="140" t="s">
        <v>311</v>
      </c>
      <c r="E25" s="141"/>
      <c r="F25" s="141"/>
      <c r="G25" s="141"/>
      <c r="H25" s="39">
        <f>SUM(H26:H26)</f>
        <v>0</v>
      </c>
      <c r="I25" s="39">
        <f>SUM(I26:I26)</f>
        <v>0</v>
      </c>
      <c r="J25" s="39">
        <f>H25+I25</f>
        <v>0</v>
      </c>
      <c r="K25" s="34"/>
      <c r="L25" s="39">
        <f>SUM(L26:L26)</f>
        <v>0.001152</v>
      </c>
      <c r="P25" s="39">
        <f>IF(Q25="PR",J25,SUM(O26:O26))</f>
        <v>0</v>
      </c>
      <c r="Q25" s="34" t="s">
        <v>73</v>
      </c>
      <c r="R25" s="39">
        <f>IF(Q25="HS",H25,0)</f>
        <v>0</v>
      </c>
      <c r="S25" s="39">
        <f>IF(Q25="HS",I25-P25,0)</f>
        <v>0</v>
      </c>
      <c r="T25" s="39">
        <f>IF(Q25="PS",H25,0)</f>
        <v>0</v>
      </c>
      <c r="U25" s="39">
        <f>IF(Q25="PS",I25-P25,0)</f>
        <v>0</v>
      </c>
      <c r="V25" s="39">
        <f>IF(Q25="MP",H25,0)</f>
        <v>0</v>
      </c>
      <c r="W25" s="39">
        <f>IF(Q25="MP",I25-P25,0)</f>
        <v>0</v>
      </c>
      <c r="X25" s="39">
        <f>IF(Q25="OM",H25,0)</f>
        <v>0</v>
      </c>
      <c r="Y25" s="34"/>
      <c r="AI25" s="39">
        <f>SUM(Z26:Z26)</f>
        <v>0</v>
      </c>
      <c r="AJ25" s="39">
        <f>SUM(AA26:AA26)</f>
        <v>0</v>
      </c>
      <c r="AK25" s="39">
        <f>SUM(AB26:AB26)</f>
        <v>0</v>
      </c>
    </row>
    <row r="26" spans="1:32" ht="12.75">
      <c r="A26" s="22" t="s">
        <v>109</v>
      </c>
      <c r="B26" s="22"/>
      <c r="C26" s="22" t="s">
        <v>312</v>
      </c>
      <c r="D26" s="22" t="s">
        <v>313</v>
      </c>
      <c r="E26" s="22" t="s">
        <v>110</v>
      </c>
      <c r="F26" s="40">
        <v>14.4</v>
      </c>
      <c r="G26" s="40"/>
      <c r="H26" s="40">
        <f>ROUND(F26*AE26,2)</f>
        <v>0</v>
      </c>
      <c r="I26" s="40">
        <f>J26-H26</f>
        <v>0</v>
      </c>
      <c r="J26" s="40">
        <f>ROUND(F26*G26,2)</f>
        <v>0</v>
      </c>
      <c r="K26" s="40">
        <v>8E-05</v>
      </c>
      <c r="L26" s="40">
        <f>F26*K26</f>
        <v>0.001152</v>
      </c>
      <c r="N26" s="41" t="s">
        <v>74</v>
      </c>
      <c r="O26" s="40">
        <f>IF(N26="5",I26,0)</f>
        <v>0</v>
      </c>
      <c r="Z26" s="40">
        <f>IF(AD26=0,J26,0)</f>
        <v>0</v>
      </c>
      <c r="AA26" s="40">
        <f>IF(AD26=10,J26,0)</f>
        <v>0</v>
      </c>
      <c r="AB26" s="40">
        <f>IF(AD26=20,J26,0)</f>
        <v>0</v>
      </c>
      <c r="AD26" s="40">
        <v>20</v>
      </c>
      <c r="AE26" s="40">
        <f>G26*0.344613474076374</f>
        <v>0</v>
      </c>
      <c r="AF26" s="40">
        <f>G26*(1-0.344613474076374)</f>
        <v>0</v>
      </c>
    </row>
    <row r="27" spans="1:37" ht="12.75">
      <c r="A27" s="42"/>
      <c r="B27" s="42"/>
      <c r="C27" s="43" t="s">
        <v>289</v>
      </c>
      <c r="D27" s="140" t="s">
        <v>290</v>
      </c>
      <c r="E27" s="141"/>
      <c r="F27" s="141"/>
      <c r="G27" s="141"/>
      <c r="H27" s="39">
        <f>SUM(H28:H28)</f>
        <v>0</v>
      </c>
      <c r="I27" s="39">
        <f>SUM(I28:I28)</f>
        <v>0</v>
      </c>
      <c r="J27" s="39">
        <f>H27+I27</f>
        <v>0</v>
      </c>
      <c r="K27" s="34"/>
      <c r="L27" s="39">
        <f>SUM(L28:L28)</f>
        <v>0.3915366</v>
      </c>
      <c r="P27" s="39">
        <f>IF(Q27="PR",J27,SUM(O28:O28))</f>
        <v>0</v>
      </c>
      <c r="Q27" s="34" t="s">
        <v>73</v>
      </c>
      <c r="R27" s="39">
        <f>IF(Q27="HS",H27,0)</f>
        <v>0</v>
      </c>
      <c r="S27" s="39">
        <f>IF(Q27="HS",I27-P27,0)</f>
        <v>0</v>
      </c>
      <c r="T27" s="39">
        <f>IF(Q27="PS",H27,0)</f>
        <v>0</v>
      </c>
      <c r="U27" s="39">
        <f>IF(Q27="PS",I27-P27,0)</f>
        <v>0</v>
      </c>
      <c r="V27" s="39">
        <f>IF(Q27="MP",H27,0)</f>
        <v>0</v>
      </c>
      <c r="W27" s="39">
        <f>IF(Q27="MP",I27-P27,0)</f>
        <v>0</v>
      </c>
      <c r="X27" s="39">
        <f>IF(Q27="OM",H27,0)</f>
        <v>0</v>
      </c>
      <c r="Y27" s="34"/>
      <c r="AI27" s="39">
        <f>SUM(Z28:Z28)</f>
        <v>0</v>
      </c>
      <c r="AJ27" s="39">
        <f>SUM(AA28:AA28)</f>
        <v>0</v>
      </c>
      <c r="AK27" s="39">
        <f>SUM(AB28:AB28)</f>
        <v>0</v>
      </c>
    </row>
    <row r="28" spans="1:32" ht="12.75">
      <c r="A28" s="22" t="s">
        <v>111</v>
      </c>
      <c r="B28" s="22"/>
      <c r="C28" s="22" t="s">
        <v>291</v>
      </c>
      <c r="D28" s="22" t="s">
        <v>292</v>
      </c>
      <c r="E28" s="22" t="s">
        <v>77</v>
      </c>
      <c r="F28" s="40">
        <v>0.156</v>
      </c>
      <c r="G28" s="40"/>
      <c r="H28" s="40">
        <f>ROUND(F28*AE28,2)</f>
        <v>0</v>
      </c>
      <c r="I28" s="40">
        <f>J28-H28</f>
        <v>0</v>
      </c>
      <c r="J28" s="40">
        <f>ROUND(F28*G28,2)</f>
        <v>0</v>
      </c>
      <c r="K28" s="40">
        <v>2.50985</v>
      </c>
      <c r="L28" s="40">
        <f>F28*K28</f>
        <v>0.3915366</v>
      </c>
      <c r="N28" s="41" t="s">
        <v>74</v>
      </c>
      <c r="O28" s="40">
        <f>IF(N28="5",I28,0)</f>
        <v>0</v>
      </c>
      <c r="Z28" s="40">
        <f>IF(AD28=0,J28,0)</f>
        <v>0</v>
      </c>
      <c r="AA28" s="40">
        <f>IF(AD28=10,J28,0)</f>
        <v>0</v>
      </c>
      <c r="AB28" s="40">
        <f>IF(AD28=20,J28,0)</f>
        <v>0</v>
      </c>
      <c r="AD28" s="40">
        <v>20</v>
      </c>
      <c r="AE28" s="40">
        <f>G28*0.729422534887765</f>
        <v>0</v>
      </c>
      <c r="AF28" s="40">
        <f>G28*(1-0.729422534887765)</f>
        <v>0</v>
      </c>
    </row>
    <row r="29" spans="1:37" ht="12.75">
      <c r="A29" s="42"/>
      <c r="B29" s="42"/>
      <c r="C29" s="43" t="s">
        <v>159</v>
      </c>
      <c r="D29" s="140" t="s">
        <v>160</v>
      </c>
      <c r="E29" s="141"/>
      <c r="F29" s="141"/>
      <c r="G29" s="141"/>
      <c r="H29" s="39">
        <f>SUM(H30:H31)</f>
        <v>0</v>
      </c>
      <c r="I29" s="39">
        <f>SUM(I30:I31)</f>
        <v>0</v>
      </c>
      <c r="J29" s="39">
        <f>H29+I29</f>
        <v>0</v>
      </c>
      <c r="K29" s="34"/>
      <c r="L29" s="39">
        <f>SUM(L30:L31)</f>
        <v>0.0563</v>
      </c>
      <c r="P29" s="39">
        <f>IF(Q29="PR",J29,SUM(O30:O31))</f>
        <v>0</v>
      </c>
      <c r="Q29" s="34" t="s">
        <v>161</v>
      </c>
      <c r="R29" s="39">
        <f>IF(Q29="HS",H29,0)</f>
        <v>0</v>
      </c>
      <c r="S29" s="39">
        <f>IF(Q29="HS",I29-P29,0)</f>
        <v>0</v>
      </c>
      <c r="T29" s="39">
        <f>IF(Q29="PS",H29,0)</f>
        <v>0</v>
      </c>
      <c r="U29" s="39">
        <f>IF(Q29="PS",I29-P29,0)</f>
        <v>0</v>
      </c>
      <c r="V29" s="39">
        <f>IF(Q29="MP",H29,0)</f>
        <v>0</v>
      </c>
      <c r="W29" s="39">
        <f>IF(Q29="MP",I29-P29,0)</f>
        <v>0</v>
      </c>
      <c r="X29" s="39">
        <f>IF(Q29="OM",H29,0)</f>
        <v>0</v>
      </c>
      <c r="Y29" s="34"/>
      <c r="AI29" s="39">
        <f>SUM(Z30:Z31)</f>
        <v>0</v>
      </c>
      <c r="AJ29" s="39">
        <f>SUM(AA30:AA31)</f>
        <v>0</v>
      </c>
      <c r="AK29" s="39">
        <f>SUM(AB30:AB31)</f>
        <v>0</v>
      </c>
    </row>
    <row r="30" spans="1:32" ht="12.75">
      <c r="A30" s="22" t="s">
        <v>112</v>
      </c>
      <c r="B30" s="22"/>
      <c r="C30" s="22" t="s">
        <v>162</v>
      </c>
      <c r="D30" s="22" t="s">
        <v>163</v>
      </c>
      <c r="E30" s="22" t="s">
        <v>110</v>
      </c>
      <c r="F30" s="40">
        <v>11.26</v>
      </c>
      <c r="G30" s="40"/>
      <c r="H30" s="40">
        <f>ROUND(F30*AE30,2)</f>
        <v>0</v>
      </c>
      <c r="I30" s="40">
        <f>J30-H30</f>
        <v>0</v>
      </c>
      <c r="J30" s="40">
        <f>ROUND(F30*G30,2)</f>
        <v>0</v>
      </c>
      <c r="K30" s="40">
        <v>0.005</v>
      </c>
      <c r="L30" s="40">
        <f>F30*K30</f>
        <v>0.0563</v>
      </c>
      <c r="N30" s="41" t="s">
        <v>74</v>
      </c>
      <c r="O30" s="40">
        <f>IF(N30="5",I30,0)</f>
        <v>0</v>
      </c>
      <c r="Z30" s="40">
        <f>IF(AD30=0,J30,0)</f>
        <v>0</v>
      </c>
      <c r="AA30" s="40">
        <f>IF(AD30=10,J30,0)</f>
        <v>0</v>
      </c>
      <c r="AB30" s="40">
        <f>IF(AD30=20,J30,0)</f>
        <v>0</v>
      </c>
      <c r="AD30" s="40">
        <v>20</v>
      </c>
      <c r="AE30" s="40">
        <f>G30*0.739915512641342</f>
        <v>0</v>
      </c>
      <c r="AF30" s="40">
        <f>G30*(1-0.739915512641342)</f>
        <v>0</v>
      </c>
    </row>
    <row r="31" spans="1:32" ht="12.75">
      <c r="A31" s="22" t="s">
        <v>71</v>
      </c>
      <c r="B31" s="22"/>
      <c r="C31" s="22" t="s">
        <v>123</v>
      </c>
      <c r="D31" s="22" t="s">
        <v>307</v>
      </c>
      <c r="E31" s="22" t="s">
        <v>125</v>
      </c>
      <c r="F31" s="40">
        <v>0.0563</v>
      </c>
      <c r="G31" s="40"/>
      <c r="H31" s="40">
        <f>ROUND(F31*AE31,2)</f>
        <v>0</v>
      </c>
      <c r="I31" s="40">
        <f>J31-H31</f>
        <v>0</v>
      </c>
      <c r="J31" s="40">
        <f>ROUND(F31*G31,2)</f>
        <v>0</v>
      </c>
      <c r="K31" s="40">
        <v>0</v>
      </c>
      <c r="L31" s="40">
        <f>F31*K31</f>
        <v>0</v>
      </c>
      <c r="N31" s="41" t="s">
        <v>89</v>
      </c>
      <c r="O31" s="40">
        <f>IF(N31="5",I31,0)</f>
        <v>0</v>
      </c>
      <c r="Z31" s="40">
        <f>IF(AD31=0,J31,0)</f>
        <v>0</v>
      </c>
      <c r="AA31" s="40">
        <f>IF(AD31=10,J31,0)</f>
        <v>0</v>
      </c>
      <c r="AB31" s="40">
        <f>IF(AD31=20,J31,0)</f>
        <v>0</v>
      </c>
      <c r="AD31" s="40">
        <v>20</v>
      </c>
      <c r="AE31" s="40">
        <f>G31*0</f>
        <v>0</v>
      </c>
      <c r="AF31" s="40">
        <f>G31*(1-0)</f>
        <v>0</v>
      </c>
    </row>
    <row r="32" spans="1:37" ht="12.75">
      <c r="A32" s="42"/>
      <c r="B32" s="42"/>
      <c r="C32" s="43" t="s">
        <v>173</v>
      </c>
      <c r="D32" s="140" t="s">
        <v>174</v>
      </c>
      <c r="E32" s="141"/>
      <c r="F32" s="141"/>
      <c r="G32" s="141"/>
      <c r="H32" s="39">
        <f>SUM(H33:H37)</f>
        <v>0</v>
      </c>
      <c r="I32" s="39">
        <f>SUM(I33:I37)</f>
        <v>0</v>
      </c>
      <c r="J32" s="39">
        <f>H32+I32</f>
        <v>0</v>
      </c>
      <c r="K32" s="34"/>
      <c r="L32" s="39">
        <f>SUM(L33:L37)</f>
        <v>2.4674159999999996</v>
      </c>
      <c r="P32" s="39">
        <f>IF(Q32="PR",J32,SUM(O33:O37))</f>
        <v>0</v>
      </c>
      <c r="Q32" s="34" t="s">
        <v>161</v>
      </c>
      <c r="R32" s="39">
        <f>IF(Q32="HS",H32,0)</f>
        <v>0</v>
      </c>
      <c r="S32" s="39">
        <f>IF(Q32="HS",I32-P32,0)</f>
        <v>0</v>
      </c>
      <c r="T32" s="39">
        <f>IF(Q32="PS",H32,0)</f>
        <v>0</v>
      </c>
      <c r="U32" s="39">
        <f>IF(Q32="PS",I32-P32,0)</f>
        <v>0</v>
      </c>
      <c r="V32" s="39">
        <f>IF(Q32="MP",H32,0)</f>
        <v>0</v>
      </c>
      <c r="W32" s="39">
        <f>IF(Q32="MP",I32-P32,0)</f>
        <v>0</v>
      </c>
      <c r="X32" s="39">
        <f>IF(Q32="OM",H32,0)</f>
        <v>0</v>
      </c>
      <c r="Y32" s="34"/>
      <c r="AI32" s="39">
        <f>SUM(Z33:Z37)</f>
        <v>0</v>
      </c>
      <c r="AJ32" s="39">
        <f>SUM(AA33:AA37)</f>
        <v>0</v>
      </c>
      <c r="AK32" s="39">
        <f>SUM(AB33:AB37)</f>
        <v>0</v>
      </c>
    </row>
    <row r="33" spans="1:32" ht="12.75">
      <c r="A33" s="22" t="s">
        <v>117</v>
      </c>
      <c r="B33" s="22"/>
      <c r="C33" s="22" t="s">
        <v>176</v>
      </c>
      <c r="D33" s="22" t="s">
        <v>177</v>
      </c>
      <c r="E33" s="22" t="s">
        <v>178</v>
      </c>
      <c r="F33" s="40">
        <v>31.6</v>
      </c>
      <c r="G33" s="40"/>
      <c r="H33" s="40">
        <f>ROUND(F33*AE33,2)</f>
        <v>0</v>
      </c>
      <c r="I33" s="40">
        <f>J33-H33</f>
        <v>0</v>
      </c>
      <c r="J33" s="40">
        <f>ROUND(F33*G33,2)</f>
        <v>0</v>
      </c>
      <c r="K33" s="40">
        <v>0.00526</v>
      </c>
      <c r="L33" s="40">
        <f>F33*K33</f>
        <v>0.166216</v>
      </c>
      <c r="N33" s="41" t="s">
        <v>74</v>
      </c>
      <c r="O33" s="40">
        <f>IF(N33="5",I33,0)</f>
        <v>0</v>
      </c>
      <c r="Z33" s="40">
        <f>IF(AD33=0,J33,0)</f>
        <v>0</v>
      </c>
      <c r="AA33" s="40">
        <f>IF(AD33=10,J33,0)</f>
        <v>0</v>
      </c>
      <c r="AB33" s="40">
        <f>IF(AD33=20,J33,0)</f>
        <v>0</v>
      </c>
      <c r="AD33" s="40">
        <v>20</v>
      </c>
      <c r="AE33" s="40">
        <f>G33*0.0373822442661696</f>
        <v>0</v>
      </c>
      <c r="AF33" s="40">
        <f>G33*(1-0.0373822442661696)</f>
        <v>0</v>
      </c>
    </row>
    <row r="34" spans="1:32" ht="12.75">
      <c r="A34" s="22" t="s">
        <v>120</v>
      </c>
      <c r="B34" s="22"/>
      <c r="C34" s="22" t="s">
        <v>293</v>
      </c>
      <c r="D34" s="22" t="s">
        <v>294</v>
      </c>
      <c r="E34" s="22" t="s">
        <v>103</v>
      </c>
      <c r="F34" s="40">
        <v>2.3</v>
      </c>
      <c r="G34" s="40"/>
      <c r="H34" s="40">
        <f>ROUND(F34*AE34,2)</f>
        <v>0</v>
      </c>
      <c r="I34" s="40">
        <f>J34-H34</f>
        <v>0</v>
      </c>
      <c r="J34" s="40">
        <f>ROUND(F34*G34,2)</f>
        <v>0</v>
      </c>
      <c r="K34" s="40">
        <v>1</v>
      </c>
      <c r="L34" s="40">
        <f>F34*K34</f>
        <v>2.3</v>
      </c>
      <c r="N34" s="41" t="s">
        <v>104</v>
      </c>
      <c r="O34" s="40">
        <f>IF(N34="5",I34,0)</f>
        <v>0</v>
      </c>
      <c r="Z34" s="40">
        <f>IF(AD34=0,J34,0)</f>
        <v>0</v>
      </c>
      <c r="AA34" s="40">
        <f>IF(AD34=10,J34,0)</f>
        <v>0</v>
      </c>
      <c r="AB34" s="40">
        <f>IF(AD34=20,J34,0)</f>
        <v>0</v>
      </c>
      <c r="AD34" s="40">
        <v>20</v>
      </c>
      <c r="AE34" s="40">
        <f>G34*1</f>
        <v>0</v>
      </c>
      <c r="AF34" s="40">
        <f>G34*(1-1)</f>
        <v>0</v>
      </c>
    </row>
    <row r="35" spans="1:32" ht="12.75">
      <c r="A35" s="22" t="s">
        <v>81</v>
      </c>
      <c r="B35" s="22"/>
      <c r="C35" s="22" t="s">
        <v>295</v>
      </c>
      <c r="D35" s="22" t="s">
        <v>296</v>
      </c>
      <c r="E35" s="22" t="s">
        <v>134</v>
      </c>
      <c r="F35" s="40">
        <v>6</v>
      </c>
      <c r="G35" s="40"/>
      <c r="H35" s="40">
        <f>ROUND(F35*AE35,2)</f>
        <v>0</v>
      </c>
      <c r="I35" s="40">
        <f>J35-H35</f>
        <v>0</v>
      </c>
      <c r="J35" s="40">
        <f>ROUND(F35*G35,2)</f>
        <v>0</v>
      </c>
      <c r="K35" s="40">
        <v>0.0002</v>
      </c>
      <c r="L35" s="40">
        <f>F35*K35</f>
        <v>0.0012000000000000001</v>
      </c>
      <c r="N35" s="41" t="s">
        <v>74</v>
      </c>
      <c r="O35" s="40">
        <f>IF(N35="5",I35,0)</f>
        <v>0</v>
      </c>
      <c r="Z35" s="40">
        <f>IF(AD35=0,J35,0)</f>
        <v>0</v>
      </c>
      <c r="AA35" s="40">
        <f>IF(AD35=10,J35,0)</f>
        <v>0</v>
      </c>
      <c r="AB35" s="40">
        <f>IF(AD35=20,J35,0)</f>
        <v>0</v>
      </c>
      <c r="AD35" s="40">
        <v>20</v>
      </c>
      <c r="AE35" s="40">
        <f>G35*0.87542556204318</f>
        <v>0</v>
      </c>
      <c r="AF35" s="40">
        <f>G35*(1-0.87542556204318)</f>
        <v>0</v>
      </c>
    </row>
    <row r="36" spans="1:32" ht="12.75">
      <c r="A36" s="22" t="s">
        <v>92</v>
      </c>
      <c r="B36" s="22"/>
      <c r="C36" s="22" t="s">
        <v>180</v>
      </c>
      <c r="D36" s="22" t="s">
        <v>181</v>
      </c>
      <c r="E36" s="22" t="s">
        <v>178</v>
      </c>
      <c r="F36" s="40">
        <v>31.3</v>
      </c>
      <c r="G36" s="40"/>
      <c r="H36" s="40">
        <f>ROUND(F36*AE36,2)</f>
        <v>0</v>
      </c>
      <c r="I36" s="40">
        <f>J36-H36</f>
        <v>0</v>
      </c>
      <c r="J36" s="40">
        <f>ROUND(F36*G36,2)</f>
        <v>0</v>
      </c>
      <c r="K36" s="40">
        <v>0</v>
      </c>
      <c r="L36" s="40">
        <f>F36*K36</f>
        <v>0</v>
      </c>
      <c r="N36" s="41" t="s">
        <v>74</v>
      </c>
      <c r="O36" s="40">
        <f>IF(N36="5",I36,0)</f>
        <v>0</v>
      </c>
      <c r="Z36" s="40">
        <f>IF(AD36=0,J36,0)</f>
        <v>0</v>
      </c>
      <c r="AA36" s="40">
        <f>IF(AD36=10,J36,0)</f>
        <v>0</v>
      </c>
      <c r="AB36" s="40">
        <f>IF(AD36=20,J36,0)</f>
        <v>0</v>
      </c>
      <c r="AD36" s="40">
        <v>20</v>
      </c>
      <c r="AE36" s="40">
        <f>G36*0.125464755114219</f>
        <v>0</v>
      </c>
      <c r="AF36" s="40">
        <f>G36*(1-0.125464755114219)</f>
        <v>0</v>
      </c>
    </row>
    <row r="37" spans="1:32" ht="12.75">
      <c r="A37" s="22" t="s">
        <v>108</v>
      </c>
      <c r="B37" s="22"/>
      <c r="C37" s="22" t="s">
        <v>123</v>
      </c>
      <c r="D37" s="22" t="s">
        <v>307</v>
      </c>
      <c r="E37" s="22" t="s">
        <v>125</v>
      </c>
      <c r="F37" s="40">
        <v>2.4674</v>
      </c>
      <c r="G37" s="40"/>
      <c r="H37" s="40">
        <f>ROUND(F37*AE37,2)</f>
        <v>0</v>
      </c>
      <c r="I37" s="40">
        <f>J37-H37</f>
        <v>0</v>
      </c>
      <c r="J37" s="40">
        <f>ROUND(F37*G37,2)</f>
        <v>0</v>
      </c>
      <c r="K37" s="40">
        <v>0</v>
      </c>
      <c r="L37" s="40">
        <f>F37*K37</f>
        <v>0</v>
      </c>
      <c r="N37" s="41" t="s">
        <v>89</v>
      </c>
      <c r="O37" s="40">
        <f>IF(N37="5",I37,0)</f>
        <v>0</v>
      </c>
      <c r="Z37" s="40">
        <f>IF(AD37=0,J37,0)</f>
        <v>0</v>
      </c>
      <c r="AA37" s="40">
        <f>IF(AD37=10,J37,0)</f>
        <v>0</v>
      </c>
      <c r="AB37" s="40">
        <f>IF(AD37=20,J37,0)</f>
        <v>0</v>
      </c>
      <c r="AD37" s="40">
        <v>20</v>
      </c>
      <c r="AE37" s="40">
        <f>G37*0</f>
        <v>0</v>
      </c>
      <c r="AF37" s="40">
        <f>G37*(1-0)</f>
        <v>0</v>
      </c>
    </row>
    <row r="38" spans="1:37" ht="12.75">
      <c r="A38" s="42"/>
      <c r="B38" s="42"/>
      <c r="C38" s="43" t="s">
        <v>183</v>
      </c>
      <c r="D38" s="140" t="s">
        <v>184</v>
      </c>
      <c r="E38" s="141"/>
      <c r="F38" s="141"/>
      <c r="G38" s="141"/>
      <c r="H38" s="39">
        <f>SUM(H39:H41)</f>
        <v>0</v>
      </c>
      <c r="I38" s="39">
        <f>SUM(I39:I41)</f>
        <v>0</v>
      </c>
      <c r="J38" s="39">
        <f>H38+I38</f>
        <v>0</v>
      </c>
      <c r="K38" s="34"/>
      <c r="L38" s="39">
        <f>SUM(L39:L41)</f>
        <v>0.0903907</v>
      </c>
      <c r="P38" s="39">
        <f>IF(Q38="PR",J38,SUM(O39:O41))</f>
        <v>0</v>
      </c>
      <c r="Q38" s="34" t="s">
        <v>161</v>
      </c>
      <c r="R38" s="39">
        <f>IF(Q38="HS",H38,0)</f>
        <v>0</v>
      </c>
      <c r="S38" s="39">
        <f>IF(Q38="HS",I38-P38,0)</f>
        <v>0</v>
      </c>
      <c r="T38" s="39">
        <f>IF(Q38="PS",H38,0)</f>
        <v>0</v>
      </c>
      <c r="U38" s="39">
        <f>IF(Q38="PS",I38-P38,0)</f>
        <v>0</v>
      </c>
      <c r="V38" s="39">
        <f>IF(Q38="MP",H38,0)</f>
        <v>0</v>
      </c>
      <c r="W38" s="39">
        <f>IF(Q38="MP",I38-P38,0)</f>
        <v>0</v>
      </c>
      <c r="X38" s="39">
        <f>IF(Q38="OM",H38,0)</f>
        <v>0</v>
      </c>
      <c r="Y38" s="34"/>
      <c r="AI38" s="39">
        <f>SUM(Z39:Z41)</f>
        <v>0</v>
      </c>
      <c r="AJ38" s="39">
        <f>SUM(AA39:AA41)</f>
        <v>0</v>
      </c>
      <c r="AK38" s="39">
        <f>SUM(AB39:AB41)</f>
        <v>0</v>
      </c>
    </row>
    <row r="39" spans="1:32" ht="12.75">
      <c r="A39" s="22" t="s">
        <v>137</v>
      </c>
      <c r="B39" s="22"/>
      <c r="C39" s="22" t="s">
        <v>314</v>
      </c>
      <c r="D39" s="22" t="s">
        <v>315</v>
      </c>
      <c r="E39" s="22" t="s">
        <v>178</v>
      </c>
      <c r="F39" s="40">
        <v>4.59</v>
      </c>
      <c r="G39" s="40"/>
      <c r="H39" s="40">
        <f>ROUND(F39*AE39,2)</f>
        <v>0</v>
      </c>
      <c r="I39" s="40">
        <f>J39-H39</f>
        <v>0</v>
      </c>
      <c r="J39" s="40">
        <f>ROUND(F39*G39,2)</f>
        <v>0</v>
      </c>
      <c r="K39" s="40">
        <v>1E-05</v>
      </c>
      <c r="L39" s="40">
        <f>F39*K39</f>
        <v>4.5900000000000004E-05</v>
      </c>
      <c r="N39" s="41" t="s">
        <v>74</v>
      </c>
      <c r="O39" s="40">
        <f>IF(N39="5",I39,0)</f>
        <v>0</v>
      </c>
      <c r="Z39" s="40">
        <f>IF(AD39=0,J39,0)</f>
        <v>0</v>
      </c>
      <c r="AA39" s="40">
        <f>IF(AD39=10,J39,0)</f>
        <v>0</v>
      </c>
      <c r="AB39" s="40">
        <f>IF(AD39=20,J39,0)</f>
        <v>0</v>
      </c>
      <c r="AD39" s="40">
        <v>20</v>
      </c>
      <c r="AE39" s="40">
        <f>G39*0.00925497454881999</f>
        <v>0</v>
      </c>
      <c r="AF39" s="40">
        <f>G39*(1-0.00925497454881999)</f>
        <v>0</v>
      </c>
    </row>
    <row r="40" spans="1:32" ht="12.75">
      <c r="A40" s="22" t="s">
        <v>140</v>
      </c>
      <c r="B40" s="22"/>
      <c r="C40" s="22" t="s">
        <v>316</v>
      </c>
      <c r="D40" s="22" t="s">
        <v>317</v>
      </c>
      <c r="E40" s="22" t="s">
        <v>110</v>
      </c>
      <c r="F40" s="40">
        <v>3.64</v>
      </c>
      <c r="G40" s="40"/>
      <c r="H40" s="40">
        <f>ROUND(F40*AE40,2)</f>
        <v>0</v>
      </c>
      <c r="I40" s="40">
        <f>J40-H40</f>
        <v>0</v>
      </c>
      <c r="J40" s="40">
        <f>ROUND(F40*G40,2)</f>
        <v>0</v>
      </c>
      <c r="K40" s="40">
        <v>0.00017</v>
      </c>
      <c r="L40" s="40">
        <f>F40*K40</f>
        <v>0.0006188000000000001</v>
      </c>
      <c r="N40" s="41" t="s">
        <v>74</v>
      </c>
      <c r="O40" s="40">
        <f>IF(N40="5",I40,0)</f>
        <v>0</v>
      </c>
      <c r="Z40" s="40">
        <f>IF(AD40=0,J40,0)</f>
        <v>0</v>
      </c>
      <c r="AA40" s="40">
        <f>IF(AD40=10,J40,0)</f>
        <v>0</v>
      </c>
      <c r="AB40" s="40">
        <f>IF(AD40=20,J40,0)</f>
        <v>0</v>
      </c>
      <c r="AD40" s="40">
        <v>20</v>
      </c>
      <c r="AE40" s="40">
        <f>G40*0.0148821154096652</f>
        <v>0</v>
      </c>
      <c r="AF40" s="40">
        <f>G40*(1-0.0148821154096652)</f>
        <v>0</v>
      </c>
    </row>
    <row r="41" spans="1:32" ht="12.75">
      <c r="A41" s="22" t="s">
        <v>143</v>
      </c>
      <c r="B41" s="22"/>
      <c r="C41" s="22" t="s">
        <v>318</v>
      </c>
      <c r="D41" s="22" t="s">
        <v>319</v>
      </c>
      <c r="E41" s="22" t="s">
        <v>110</v>
      </c>
      <c r="F41" s="40">
        <v>3.64</v>
      </c>
      <c r="G41" s="40"/>
      <c r="H41" s="40">
        <f>ROUND(F41*AE41,2)</f>
        <v>0</v>
      </c>
      <c r="I41" s="40">
        <f>J41-H41</f>
        <v>0</v>
      </c>
      <c r="J41" s="40">
        <f>ROUND(F41*G41,2)</f>
        <v>0</v>
      </c>
      <c r="K41" s="40">
        <v>0.02465</v>
      </c>
      <c r="L41" s="40">
        <f>F41*K41</f>
        <v>0.089726</v>
      </c>
      <c r="N41" s="41" t="s">
        <v>74</v>
      </c>
      <c r="O41" s="40">
        <f>IF(N41="5",I41,0)</f>
        <v>0</v>
      </c>
      <c r="Z41" s="40">
        <f>IF(AD41=0,J41,0)</f>
        <v>0</v>
      </c>
      <c r="AA41" s="40">
        <f>IF(AD41=10,J41,0)</f>
        <v>0</v>
      </c>
      <c r="AB41" s="40">
        <f>IF(AD41=20,J41,0)</f>
        <v>0</v>
      </c>
      <c r="AD41" s="40">
        <v>20</v>
      </c>
      <c r="AE41" s="40">
        <f>G41*0</f>
        <v>0</v>
      </c>
      <c r="AF41" s="40">
        <f>G41*(1-0)</f>
        <v>0</v>
      </c>
    </row>
    <row r="42" spans="1:37" ht="12.75">
      <c r="A42" s="42"/>
      <c r="B42" s="42"/>
      <c r="C42" s="43" t="s">
        <v>188</v>
      </c>
      <c r="D42" s="140" t="s">
        <v>189</v>
      </c>
      <c r="E42" s="141"/>
      <c r="F42" s="141"/>
      <c r="G42" s="141"/>
      <c r="H42" s="39">
        <f>SUM(H43:H43)</f>
        <v>0</v>
      </c>
      <c r="I42" s="39">
        <f>SUM(I43:I43)</f>
        <v>0</v>
      </c>
      <c r="J42" s="39">
        <f>H42+I42</f>
        <v>0</v>
      </c>
      <c r="K42" s="34"/>
      <c r="L42" s="39">
        <f>SUM(L43:L43)</f>
        <v>0</v>
      </c>
      <c r="P42" s="39">
        <f>IF(Q42="PR",J42,SUM(O43:O43))</f>
        <v>0</v>
      </c>
      <c r="Q42" s="34" t="s">
        <v>161</v>
      </c>
      <c r="R42" s="39">
        <f>IF(Q42="HS",H42,0)</f>
        <v>0</v>
      </c>
      <c r="S42" s="39">
        <f>IF(Q42="HS",I42-P42,0)</f>
        <v>0</v>
      </c>
      <c r="T42" s="39">
        <f>IF(Q42="PS",H42,0)</f>
        <v>0</v>
      </c>
      <c r="U42" s="39">
        <f>IF(Q42="PS",I42-P42,0)</f>
        <v>0</v>
      </c>
      <c r="V42" s="39">
        <f>IF(Q42="MP",H42,0)</f>
        <v>0</v>
      </c>
      <c r="W42" s="39">
        <f>IF(Q42="MP",I42-P42,0)</f>
        <v>0</v>
      </c>
      <c r="X42" s="39">
        <f>IF(Q42="OM",H42,0)</f>
        <v>0</v>
      </c>
      <c r="Y42" s="34"/>
      <c r="AI42" s="39">
        <f>SUM(Z43:Z43)</f>
        <v>0</v>
      </c>
      <c r="AJ42" s="39">
        <f>SUM(AA43:AA43)</f>
        <v>0</v>
      </c>
      <c r="AK42" s="39">
        <f>SUM(AB43:AB43)</f>
        <v>0</v>
      </c>
    </row>
    <row r="43" spans="1:32" ht="12.75">
      <c r="A43" s="22" t="s">
        <v>146</v>
      </c>
      <c r="B43" s="22"/>
      <c r="C43" s="22" t="s">
        <v>191</v>
      </c>
      <c r="D43" s="22" t="s">
        <v>192</v>
      </c>
      <c r="E43" s="22" t="s">
        <v>110</v>
      </c>
      <c r="F43" s="40">
        <v>48.22</v>
      </c>
      <c r="G43" s="40"/>
      <c r="H43" s="40">
        <f>ROUND(F43*AE43,2)</f>
        <v>0</v>
      </c>
      <c r="I43" s="40">
        <f>J43-H43</f>
        <v>0</v>
      </c>
      <c r="J43" s="40">
        <f>ROUND(F43*G43,2)</f>
        <v>0</v>
      </c>
      <c r="K43" s="40">
        <v>0</v>
      </c>
      <c r="L43" s="40">
        <f>F43*K43</f>
        <v>0</v>
      </c>
      <c r="N43" s="41" t="s">
        <v>74</v>
      </c>
      <c r="O43" s="40">
        <f>IF(N43="5",I43,0)</f>
        <v>0</v>
      </c>
      <c r="Z43" s="40">
        <f>IF(AD43=0,J43,0)</f>
        <v>0</v>
      </c>
      <c r="AA43" s="40">
        <f>IF(AD43=10,J43,0)</f>
        <v>0</v>
      </c>
      <c r="AB43" s="40">
        <f>IF(AD43=20,J43,0)</f>
        <v>0</v>
      </c>
      <c r="AD43" s="40">
        <v>20</v>
      </c>
      <c r="AE43" s="40">
        <f>G43*0</f>
        <v>0</v>
      </c>
      <c r="AF43" s="40">
        <f>G43*(1-0)</f>
        <v>0</v>
      </c>
    </row>
    <row r="44" spans="1:37" ht="12.75">
      <c r="A44" s="42"/>
      <c r="B44" s="42"/>
      <c r="C44" s="43" t="s">
        <v>298</v>
      </c>
      <c r="D44" s="140" t="s">
        <v>299</v>
      </c>
      <c r="E44" s="141"/>
      <c r="F44" s="141"/>
      <c r="G44" s="141"/>
      <c r="H44" s="39">
        <f>SUM(H45:H45)</f>
        <v>0</v>
      </c>
      <c r="I44" s="39">
        <f>SUM(I45:I45)</f>
        <v>0</v>
      </c>
      <c r="J44" s="39">
        <f>H44+I44</f>
        <v>0</v>
      </c>
      <c r="K44" s="34"/>
      <c r="L44" s="39">
        <f>SUM(L45:L45)</f>
        <v>0.06028599999999999</v>
      </c>
      <c r="P44" s="39">
        <f>IF(Q44="PR",J44,SUM(O45:O45))</f>
        <v>0</v>
      </c>
      <c r="Q44" s="34" t="s">
        <v>161</v>
      </c>
      <c r="R44" s="39">
        <f>IF(Q44="HS",H44,0)</f>
        <v>0</v>
      </c>
      <c r="S44" s="39">
        <f>IF(Q44="HS",I44-P44,0)</f>
        <v>0</v>
      </c>
      <c r="T44" s="39">
        <f>IF(Q44="PS",H44,0)</f>
        <v>0</v>
      </c>
      <c r="U44" s="39">
        <f>IF(Q44="PS",I44-P44,0)</f>
        <v>0</v>
      </c>
      <c r="V44" s="39">
        <f>IF(Q44="MP",H44,0)</f>
        <v>0</v>
      </c>
      <c r="W44" s="39">
        <f>IF(Q44="MP",I44-P44,0)</f>
        <v>0</v>
      </c>
      <c r="X44" s="39">
        <f>IF(Q44="OM",H44,0)</f>
        <v>0</v>
      </c>
      <c r="Y44" s="34"/>
      <c r="AI44" s="39">
        <f>SUM(Z45:Z45)</f>
        <v>0</v>
      </c>
      <c r="AJ44" s="39">
        <f>SUM(AA45:AA45)</f>
        <v>0</v>
      </c>
      <c r="AK44" s="39">
        <f>SUM(AB45:AB45)</f>
        <v>0</v>
      </c>
    </row>
    <row r="45" spans="1:32" ht="12.75">
      <c r="A45" s="22" t="s">
        <v>149</v>
      </c>
      <c r="B45" s="22"/>
      <c r="C45" s="22" t="s">
        <v>320</v>
      </c>
      <c r="D45" s="22" t="s">
        <v>321</v>
      </c>
      <c r="E45" s="22" t="s">
        <v>110</v>
      </c>
      <c r="F45" s="40">
        <v>0.86</v>
      </c>
      <c r="G45" s="40"/>
      <c r="H45" s="40">
        <f>ROUND(F45*AE45,2)</f>
        <v>0</v>
      </c>
      <c r="I45" s="40">
        <f>J45-H45</f>
        <v>0</v>
      </c>
      <c r="J45" s="40">
        <f>ROUND(F45*G45,2)</f>
        <v>0</v>
      </c>
      <c r="K45" s="40">
        <v>0.0701</v>
      </c>
      <c r="L45" s="40">
        <f>F45*K45</f>
        <v>0.06028599999999999</v>
      </c>
      <c r="N45" s="41" t="s">
        <v>74</v>
      </c>
      <c r="O45" s="40">
        <f>IF(N45="5",I45,0)</f>
        <v>0</v>
      </c>
      <c r="Z45" s="40">
        <f>IF(AD45=0,J45,0)</f>
        <v>0</v>
      </c>
      <c r="AA45" s="40">
        <f>IF(AD45=10,J45,0)</f>
        <v>0</v>
      </c>
      <c r="AB45" s="40">
        <f>IF(AD45=20,J45,0)</f>
        <v>0</v>
      </c>
      <c r="AD45" s="40">
        <v>20</v>
      </c>
      <c r="AE45" s="40">
        <f>G45*0.16598226172395</f>
        <v>0</v>
      </c>
      <c r="AF45" s="40">
        <f>G45*(1-0.16598226172395)</f>
        <v>0</v>
      </c>
    </row>
    <row r="46" spans="1:37" ht="12.75">
      <c r="A46" s="42"/>
      <c r="B46" s="42"/>
      <c r="C46" s="43" t="s">
        <v>322</v>
      </c>
      <c r="D46" s="140" t="s">
        <v>323</v>
      </c>
      <c r="E46" s="141"/>
      <c r="F46" s="141"/>
      <c r="G46" s="141"/>
      <c r="H46" s="39">
        <f>SUM(H47:H48)</f>
        <v>0</v>
      </c>
      <c r="I46" s="39">
        <f>SUM(I47:I48)</f>
        <v>0</v>
      </c>
      <c r="J46" s="39">
        <f>H46+I46</f>
        <v>0</v>
      </c>
      <c r="K46" s="34"/>
      <c r="L46" s="39">
        <f>SUM(L47:L48)</f>
        <v>0.010130000000000002</v>
      </c>
      <c r="P46" s="39">
        <f>IF(Q46="PR",J46,SUM(O47:O48))</f>
        <v>0</v>
      </c>
      <c r="Q46" s="34" t="s">
        <v>161</v>
      </c>
      <c r="R46" s="39">
        <f>IF(Q46="HS",H46,0)</f>
        <v>0</v>
      </c>
      <c r="S46" s="39">
        <f>IF(Q46="HS",I46-P46,0)</f>
        <v>0</v>
      </c>
      <c r="T46" s="39">
        <f>IF(Q46="PS",H46,0)</f>
        <v>0</v>
      </c>
      <c r="U46" s="39">
        <f>IF(Q46="PS",I46-P46,0)</f>
        <v>0</v>
      </c>
      <c r="V46" s="39">
        <f>IF(Q46="MP",H46,0)</f>
        <v>0</v>
      </c>
      <c r="W46" s="39">
        <f>IF(Q46="MP",I46-P46,0)</f>
        <v>0</v>
      </c>
      <c r="X46" s="39">
        <f>IF(Q46="OM",H46,0)</f>
        <v>0</v>
      </c>
      <c r="Y46" s="34"/>
      <c r="AI46" s="39">
        <f>SUM(Z47:Z48)</f>
        <v>0</v>
      </c>
      <c r="AJ46" s="39">
        <f>SUM(AA47:AA48)</f>
        <v>0</v>
      </c>
      <c r="AK46" s="39">
        <f>SUM(AB47:AB48)</f>
        <v>0</v>
      </c>
    </row>
    <row r="47" spans="1:32" ht="12.75">
      <c r="A47" s="22" t="s">
        <v>152</v>
      </c>
      <c r="B47" s="22"/>
      <c r="C47" s="22" t="s">
        <v>324</v>
      </c>
      <c r="D47" s="22" t="s">
        <v>325</v>
      </c>
      <c r="E47" s="22" t="s">
        <v>178</v>
      </c>
      <c r="F47" s="40">
        <v>10.13</v>
      </c>
      <c r="G47" s="40"/>
      <c r="H47" s="40">
        <f>ROUND(F47*AE47,2)</f>
        <v>0</v>
      </c>
      <c r="I47" s="40">
        <f>J47-H47</f>
        <v>0</v>
      </c>
      <c r="J47" s="40">
        <f>ROUND(F47*G47,2)</f>
        <v>0</v>
      </c>
      <c r="K47" s="40">
        <v>0.001</v>
      </c>
      <c r="L47" s="40">
        <f>F47*K47</f>
        <v>0.010130000000000002</v>
      </c>
      <c r="N47" s="41" t="s">
        <v>74</v>
      </c>
      <c r="O47" s="40">
        <f>IF(N47="5",I47,0)</f>
        <v>0</v>
      </c>
      <c r="Z47" s="40">
        <f>IF(AD47=0,J47,0)</f>
        <v>0</v>
      </c>
      <c r="AA47" s="40">
        <f>IF(AD47=10,J47,0)</f>
        <v>0</v>
      </c>
      <c r="AB47" s="40">
        <f>IF(AD47=20,J47,0)</f>
        <v>0</v>
      </c>
      <c r="AD47" s="40">
        <v>20</v>
      </c>
      <c r="AE47" s="40">
        <f>G47*0</f>
        <v>0</v>
      </c>
      <c r="AF47" s="40">
        <f>G47*(1-0)</f>
        <v>0</v>
      </c>
    </row>
    <row r="48" spans="1:32" ht="12.75">
      <c r="A48" s="22" t="s">
        <v>155</v>
      </c>
      <c r="B48" s="22"/>
      <c r="C48" s="22" t="s">
        <v>326</v>
      </c>
      <c r="D48" s="22" t="s">
        <v>327</v>
      </c>
      <c r="E48" s="22" t="s">
        <v>178</v>
      </c>
      <c r="F48" s="40">
        <v>10.13</v>
      </c>
      <c r="G48" s="40"/>
      <c r="H48" s="40">
        <f>ROUND(F48*AE48,2)</f>
        <v>0</v>
      </c>
      <c r="I48" s="40">
        <f>J48-H48</f>
        <v>0</v>
      </c>
      <c r="J48" s="40">
        <f>ROUND(F48*G48,2)</f>
        <v>0</v>
      </c>
      <c r="K48" s="40">
        <v>0</v>
      </c>
      <c r="L48" s="40">
        <f>F48*K48</f>
        <v>0</v>
      </c>
      <c r="N48" s="41" t="s">
        <v>74</v>
      </c>
      <c r="O48" s="40">
        <f>IF(N48="5",I48,0)</f>
        <v>0</v>
      </c>
      <c r="Z48" s="40">
        <f>IF(AD48=0,J48,0)</f>
        <v>0</v>
      </c>
      <c r="AA48" s="40">
        <f>IF(AD48=10,J48,0)</f>
        <v>0</v>
      </c>
      <c r="AB48" s="40">
        <f>IF(AD48=20,J48,0)</f>
        <v>0</v>
      </c>
      <c r="AD48" s="40">
        <v>20</v>
      </c>
      <c r="AE48" s="40">
        <f>G48*0.00610471941770369</f>
        <v>0</v>
      </c>
      <c r="AF48" s="40">
        <f>G48*(1-0.00610471941770369)</f>
        <v>0</v>
      </c>
    </row>
    <row r="49" spans="1:37" ht="12.75">
      <c r="A49" s="42"/>
      <c r="B49" s="42"/>
      <c r="C49" s="43" t="s">
        <v>214</v>
      </c>
      <c r="D49" s="140" t="s">
        <v>215</v>
      </c>
      <c r="E49" s="141"/>
      <c r="F49" s="141"/>
      <c r="G49" s="141"/>
      <c r="H49" s="39">
        <f>SUM(H50:H54)</f>
        <v>0</v>
      </c>
      <c r="I49" s="39">
        <f>SUM(I50:I54)</f>
        <v>0</v>
      </c>
      <c r="J49" s="39">
        <f>H49+I49</f>
        <v>0</v>
      </c>
      <c r="K49" s="34"/>
      <c r="L49" s="39">
        <f>SUM(L50:L54)</f>
        <v>15.8627</v>
      </c>
      <c r="P49" s="39">
        <f>IF(Q49="PR",J49,SUM(O50:O54))</f>
        <v>0</v>
      </c>
      <c r="Q49" s="34" t="s">
        <v>73</v>
      </c>
      <c r="R49" s="39">
        <f>IF(Q49="HS",H49,0)</f>
        <v>0</v>
      </c>
      <c r="S49" s="39">
        <f>IF(Q49="HS",I49-P49,0)</f>
        <v>0</v>
      </c>
      <c r="T49" s="39">
        <f>IF(Q49="PS",H49,0)</f>
        <v>0</v>
      </c>
      <c r="U49" s="39">
        <f>IF(Q49="PS",I49-P49,0)</f>
        <v>0</v>
      </c>
      <c r="V49" s="39">
        <f>IF(Q49="MP",H49,0)</f>
        <v>0</v>
      </c>
      <c r="W49" s="39">
        <f>IF(Q49="MP",I49-P49,0)</f>
        <v>0</v>
      </c>
      <c r="X49" s="39">
        <f>IF(Q49="OM",H49,0)</f>
        <v>0</v>
      </c>
      <c r="Y49" s="34"/>
      <c r="AI49" s="39">
        <f>SUM(Z50:Z54)</f>
        <v>0</v>
      </c>
      <c r="AJ49" s="39">
        <f>SUM(AA50:AA54)</f>
        <v>0</v>
      </c>
      <c r="AK49" s="39">
        <f>SUM(AB50:AB54)</f>
        <v>0</v>
      </c>
    </row>
    <row r="50" spans="1:32" ht="12.75">
      <c r="A50" s="22" t="s">
        <v>158</v>
      </c>
      <c r="B50" s="22"/>
      <c r="C50" s="22" t="s">
        <v>217</v>
      </c>
      <c r="D50" s="22" t="s">
        <v>218</v>
      </c>
      <c r="E50" s="22" t="s">
        <v>77</v>
      </c>
      <c r="F50" s="40">
        <v>2.24</v>
      </c>
      <c r="G50" s="40"/>
      <c r="H50" s="40">
        <f>ROUND(F50*AE50,2)</f>
        <v>0</v>
      </c>
      <c r="I50" s="40">
        <f>J50-H50</f>
        <v>0</v>
      </c>
      <c r="J50" s="40">
        <f>ROUND(F50*G50,2)</f>
        <v>0</v>
      </c>
      <c r="K50" s="40">
        <v>2.2</v>
      </c>
      <c r="L50" s="40">
        <f>F50*K50</f>
        <v>4.928000000000001</v>
      </c>
      <c r="N50" s="41" t="s">
        <v>74</v>
      </c>
      <c r="O50" s="40">
        <f>IF(N50="5",I50,0)</f>
        <v>0</v>
      </c>
      <c r="Z50" s="40">
        <f>IF(AD50=0,J50,0)</f>
        <v>0</v>
      </c>
      <c r="AA50" s="40">
        <f>IF(AD50=10,J50,0)</f>
        <v>0</v>
      </c>
      <c r="AB50" s="40">
        <f>IF(AD50=20,J50,0)</f>
        <v>0</v>
      </c>
      <c r="AD50" s="40">
        <v>20</v>
      </c>
      <c r="AE50" s="40">
        <f>G50*0</f>
        <v>0</v>
      </c>
      <c r="AF50" s="40">
        <f>G50*(1-0)</f>
        <v>0</v>
      </c>
    </row>
    <row r="51" spans="1:32" ht="12.75">
      <c r="A51" s="22" t="s">
        <v>113</v>
      </c>
      <c r="B51" s="22"/>
      <c r="C51" s="22" t="s">
        <v>220</v>
      </c>
      <c r="D51" s="22" t="s">
        <v>221</v>
      </c>
      <c r="E51" s="22" t="s">
        <v>77</v>
      </c>
      <c r="F51" s="40">
        <v>4.2</v>
      </c>
      <c r="G51" s="40"/>
      <c r="H51" s="40">
        <f>ROUND(F51*AE51,2)</f>
        <v>0</v>
      </c>
      <c r="I51" s="40">
        <f>J51-H51</f>
        <v>0</v>
      </c>
      <c r="J51" s="40">
        <f>ROUND(F51*G51,2)</f>
        <v>0</v>
      </c>
      <c r="K51" s="40">
        <v>1.4</v>
      </c>
      <c r="L51" s="40">
        <f>F51*K51</f>
        <v>5.88</v>
      </c>
      <c r="N51" s="41" t="s">
        <v>74</v>
      </c>
      <c r="O51" s="40">
        <f>IF(N51="5",I51,0)</f>
        <v>0</v>
      </c>
      <c r="Z51" s="40">
        <f>IF(AD51=0,J51,0)</f>
        <v>0</v>
      </c>
      <c r="AA51" s="40">
        <f>IF(AD51=10,J51,0)</f>
        <v>0</v>
      </c>
      <c r="AB51" s="40">
        <f>IF(AD51=20,J51,0)</f>
        <v>0</v>
      </c>
      <c r="AD51" s="40">
        <v>20</v>
      </c>
      <c r="AE51" s="40">
        <f>G51*0</f>
        <v>0</v>
      </c>
      <c r="AF51" s="40">
        <f>G51*(1-0)</f>
        <v>0</v>
      </c>
    </row>
    <row r="52" spans="1:32" ht="12.75">
      <c r="A52" s="22" t="s">
        <v>164</v>
      </c>
      <c r="B52" s="22"/>
      <c r="C52" s="22" t="s">
        <v>225</v>
      </c>
      <c r="D52" s="22" t="s">
        <v>226</v>
      </c>
      <c r="E52" s="22" t="s">
        <v>77</v>
      </c>
      <c r="F52" s="40">
        <v>0.546</v>
      </c>
      <c r="G52" s="40"/>
      <c r="H52" s="40">
        <f>ROUND(F52*AE52,2)</f>
        <v>0</v>
      </c>
      <c r="I52" s="40">
        <f>J52-H52</f>
        <v>0</v>
      </c>
      <c r="J52" s="40">
        <f>ROUND(F52*G52,2)</f>
        <v>0</v>
      </c>
      <c r="K52" s="40">
        <v>1.95</v>
      </c>
      <c r="L52" s="40">
        <f>F52*K52</f>
        <v>1.0647</v>
      </c>
      <c r="N52" s="41" t="s">
        <v>74</v>
      </c>
      <c r="O52" s="40">
        <f>IF(N52="5",I52,0)</f>
        <v>0</v>
      </c>
      <c r="Z52" s="40">
        <f>IF(AD52=0,J52,0)</f>
        <v>0</v>
      </c>
      <c r="AA52" s="40">
        <f>IF(AD52=10,J52,0)</f>
        <v>0</v>
      </c>
      <c r="AB52" s="40">
        <f>IF(AD52=20,J52,0)</f>
        <v>0</v>
      </c>
      <c r="AD52" s="40">
        <v>20</v>
      </c>
      <c r="AE52" s="40">
        <f>G52*0.0423486922584028</f>
        <v>0</v>
      </c>
      <c r="AF52" s="40">
        <f>G52*(1-0.0423486922584028)</f>
        <v>0</v>
      </c>
    </row>
    <row r="53" spans="1:32" ht="12.75">
      <c r="A53" s="22" t="s">
        <v>167</v>
      </c>
      <c r="B53" s="22"/>
      <c r="C53" s="22" t="s">
        <v>228</v>
      </c>
      <c r="D53" s="22" t="s">
        <v>229</v>
      </c>
      <c r="E53" s="22" t="s">
        <v>134</v>
      </c>
      <c r="F53" s="40">
        <v>21</v>
      </c>
      <c r="G53" s="40"/>
      <c r="H53" s="40">
        <f>ROUND(F53*AE53,2)</f>
        <v>0</v>
      </c>
      <c r="I53" s="40">
        <f>J53-H53</f>
        <v>0</v>
      </c>
      <c r="J53" s="40">
        <f>ROUND(F53*G53,2)</f>
        <v>0</v>
      </c>
      <c r="K53" s="40">
        <v>0.19</v>
      </c>
      <c r="L53" s="40">
        <f>F53*K53</f>
        <v>3.99</v>
      </c>
      <c r="N53" s="41" t="s">
        <v>74</v>
      </c>
      <c r="O53" s="40">
        <f>IF(N53="5",I53,0)</f>
        <v>0</v>
      </c>
      <c r="Z53" s="40">
        <f>IF(AD53=0,J53,0)</f>
        <v>0</v>
      </c>
      <c r="AA53" s="40">
        <f>IF(AD53=10,J53,0)</f>
        <v>0</v>
      </c>
      <c r="AB53" s="40">
        <f>IF(AD53=20,J53,0)</f>
        <v>0</v>
      </c>
      <c r="AD53" s="40">
        <v>20</v>
      </c>
      <c r="AE53" s="40">
        <f>G53*0</f>
        <v>0</v>
      </c>
      <c r="AF53" s="40">
        <f>G53*(1-0)</f>
        <v>0</v>
      </c>
    </row>
    <row r="54" spans="1:32" ht="12.75">
      <c r="A54" s="22" t="s">
        <v>170</v>
      </c>
      <c r="B54" s="22"/>
      <c r="C54" s="22" t="s">
        <v>123</v>
      </c>
      <c r="D54" s="22" t="s">
        <v>124</v>
      </c>
      <c r="E54" s="22" t="s">
        <v>125</v>
      </c>
      <c r="F54" s="40">
        <v>15.8627</v>
      </c>
      <c r="G54" s="40"/>
      <c r="H54" s="40">
        <f>ROUND(F54*AE54,2)</f>
        <v>0</v>
      </c>
      <c r="I54" s="40">
        <f>J54-H54</f>
        <v>0</v>
      </c>
      <c r="J54" s="40">
        <f>ROUND(F54*G54,2)</f>
        <v>0</v>
      </c>
      <c r="K54" s="40">
        <v>0</v>
      </c>
      <c r="L54" s="40">
        <f>F54*K54</f>
        <v>0</v>
      </c>
      <c r="N54" s="41" t="s">
        <v>89</v>
      </c>
      <c r="O54" s="40">
        <f>IF(N54="5",I54,0)</f>
        <v>0</v>
      </c>
      <c r="Z54" s="40">
        <f>IF(AD54=0,J54,0)</f>
        <v>0</v>
      </c>
      <c r="AA54" s="40">
        <f>IF(AD54=10,J54,0)</f>
        <v>0</v>
      </c>
      <c r="AB54" s="40">
        <f>IF(AD54=20,J54,0)</f>
        <v>0</v>
      </c>
      <c r="AD54" s="40">
        <v>20</v>
      </c>
      <c r="AE54" s="40">
        <f>G54*0</f>
        <v>0</v>
      </c>
      <c r="AF54" s="40">
        <f>G54*(1-0)</f>
        <v>0</v>
      </c>
    </row>
    <row r="55" spans="1:37" ht="12.75">
      <c r="A55" s="42"/>
      <c r="B55" s="42"/>
      <c r="C55" s="43" t="s">
        <v>231</v>
      </c>
      <c r="D55" s="140" t="s">
        <v>232</v>
      </c>
      <c r="E55" s="141"/>
      <c r="F55" s="141"/>
      <c r="G55" s="141"/>
      <c r="H55" s="39">
        <f>SUM(H56:H60)</f>
        <v>0</v>
      </c>
      <c r="I55" s="39">
        <f>SUM(I56:I60)</f>
        <v>0</v>
      </c>
      <c r="J55" s="39">
        <f>H55+I55</f>
        <v>0</v>
      </c>
      <c r="K55" s="34"/>
      <c r="L55" s="39">
        <f>SUM(L56:L60)</f>
        <v>0</v>
      </c>
      <c r="P55" s="39">
        <f>IF(Q55="PR",J55,SUM(O56:O60))</f>
        <v>0</v>
      </c>
      <c r="Q55" s="34" t="s">
        <v>233</v>
      </c>
      <c r="R55" s="39">
        <f>IF(Q55="HS",H55,0)</f>
        <v>0</v>
      </c>
      <c r="S55" s="39">
        <f>IF(Q55="HS",I55-P55,0)</f>
        <v>0</v>
      </c>
      <c r="T55" s="39">
        <f>IF(Q55="PS",H55,0)</f>
        <v>0</v>
      </c>
      <c r="U55" s="39">
        <f>IF(Q55="PS",I55-P55,0)</f>
        <v>0</v>
      </c>
      <c r="V55" s="39">
        <f>IF(Q55="MP",H55,0)</f>
        <v>0</v>
      </c>
      <c r="W55" s="39">
        <f>IF(Q55="MP",I55-P55,0)</f>
        <v>0</v>
      </c>
      <c r="X55" s="39">
        <f>IF(Q55="OM",H55,0)</f>
        <v>0</v>
      </c>
      <c r="Y55" s="34"/>
      <c r="AI55" s="39">
        <f>SUM(Z56:Z60)</f>
        <v>0</v>
      </c>
      <c r="AJ55" s="39">
        <f>SUM(AA56:AA60)</f>
        <v>0</v>
      </c>
      <c r="AK55" s="39">
        <f>SUM(AB56:AB60)</f>
        <v>0</v>
      </c>
    </row>
    <row r="56" spans="1:32" ht="12.75">
      <c r="A56" s="22" t="s">
        <v>126</v>
      </c>
      <c r="B56" s="22"/>
      <c r="C56" s="22" t="s">
        <v>235</v>
      </c>
      <c r="D56" s="22" t="s">
        <v>236</v>
      </c>
      <c r="E56" s="22" t="s">
        <v>125</v>
      </c>
      <c r="F56" s="40">
        <v>15.86</v>
      </c>
      <c r="G56" s="40"/>
      <c r="H56" s="40">
        <f>ROUND(F56*AE56,2)</f>
        <v>0</v>
      </c>
      <c r="I56" s="40">
        <f>J56-H56</f>
        <v>0</v>
      </c>
      <c r="J56" s="40">
        <f>ROUND(F56*G56,2)</f>
        <v>0</v>
      </c>
      <c r="K56" s="40">
        <v>0</v>
      </c>
      <c r="L56" s="40">
        <f>F56*K56</f>
        <v>0</v>
      </c>
      <c r="N56" s="41" t="s">
        <v>89</v>
      </c>
      <c r="O56" s="40">
        <f>IF(N56="5",I56,0)</f>
        <v>0</v>
      </c>
      <c r="Z56" s="40">
        <f>IF(AD56=0,J56,0)</f>
        <v>0</v>
      </c>
      <c r="AA56" s="40">
        <f>IF(AD56=10,J56,0)</f>
        <v>0</v>
      </c>
      <c r="AB56" s="40">
        <f>IF(AD56=20,J56,0)</f>
        <v>0</v>
      </c>
      <c r="AD56" s="40">
        <v>20</v>
      </c>
      <c r="AE56" s="40">
        <f>G56*0</f>
        <v>0</v>
      </c>
      <c r="AF56" s="40">
        <f>G56*(1-0)</f>
        <v>0</v>
      </c>
    </row>
    <row r="57" spans="1:32" ht="12.75">
      <c r="A57" s="22" t="s">
        <v>175</v>
      </c>
      <c r="B57" s="22"/>
      <c r="C57" s="22" t="s">
        <v>235</v>
      </c>
      <c r="D57" s="22" t="s">
        <v>238</v>
      </c>
      <c r="E57" s="22" t="s">
        <v>125</v>
      </c>
      <c r="F57" s="40">
        <v>15.86</v>
      </c>
      <c r="G57" s="40"/>
      <c r="H57" s="40">
        <f>ROUND(F57*AE57,2)</f>
        <v>0</v>
      </c>
      <c r="I57" s="40">
        <f>J57-H57</f>
        <v>0</v>
      </c>
      <c r="J57" s="40">
        <f>ROUND(F57*G57,2)</f>
        <v>0</v>
      </c>
      <c r="K57" s="40">
        <v>0</v>
      </c>
      <c r="L57" s="40">
        <f>F57*K57</f>
        <v>0</v>
      </c>
      <c r="N57" s="41" t="s">
        <v>89</v>
      </c>
      <c r="O57" s="40">
        <f>IF(N57="5",I57,0)</f>
        <v>0</v>
      </c>
      <c r="Z57" s="40">
        <f>IF(AD57=0,J57,0)</f>
        <v>0</v>
      </c>
      <c r="AA57" s="40">
        <f>IF(AD57=10,J57,0)</f>
        <v>0</v>
      </c>
      <c r="AB57" s="40">
        <f>IF(AD57=20,J57,0)</f>
        <v>0</v>
      </c>
      <c r="AD57" s="40">
        <v>20</v>
      </c>
      <c r="AE57" s="40">
        <f>G57*0</f>
        <v>0</v>
      </c>
      <c r="AF57" s="40">
        <f>G57*(1-0)</f>
        <v>0</v>
      </c>
    </row>
    <row r="58" spans="1:32" ht="12.75">
      <c r="A58" s="22" t="s">
        <v>179</v>
      </c>
      <c r="B58" s="22"/>
      <c r="C58" s="22" t="s">
        <v>240</v>
      </c>
      <c r="D58" s="22" t="s">
        <v>241</v>
      </c>
      <c r="E58" s="22" t="s">
        <v>125</v>
      </c>
      <c r="F58" s="40">
        <v>15.86</v>
      </c>
      <c r="G58" s="40"/>
      <c r="H58" s="40">
        <f>ROUND(F58*AE58,2)</f>
        <v>0</v>
      </c>
      <c r="I58" s="40">
        <f>J58-H58</f>
        <v>0</v>
      </c>
      <c r="J58" s="40">
        <f>ROUND(F58*G58,2)</f>
        <v>0</v>
      </c>
      <c r="K58" s="40">
        <v>0</v>
      </c>
      <c r="L58" s="40">
        <f>F58*K58</f>
        <v>0</v>
      </c>
      <c r="N58" s="41" t="s">
        <v>89</v>
      </c>
      <c r="O58" s="40">
        <f>IF(N58="5",I58,0)</f>
        <v>0</v>
      </c>
      <c r="Z58" s="40">
        <f>IF(AD58=0,J58,0)</f>
        <v>0</v>
      </c>
      <c r="AA58" s="40">
        <f>IF(AD58=10,J58,0)</f>
        <v>0</v>
      </c>
      <c r="AB58" s="40">
        <f>IF(AD58=20,J58,0)</f>
        <v>0</v>
      </c>
      <c r="AD58" s="40">
        <v>20</v>
      </c>
      <c r="AE58" s="40">
        <f>G58*0</f>
        <v>0</v>
      </c>
      <c r="AF58" s="40">
        <f>G58*(1-0)</f>
        <v>0</v>
      </c>
    </row>
    <row r="59" spans="1:32" ht="12.75">
      <c r="A59" s="22" t="s">
        <v>182</v>
      </c>
      <c r="B59" s="22"/>
      <c r="C59" s="22" t="s">
        <v>243</v>
      </c>
      <c r="D59" s="22" t="s">
        <v>244</v>
      </c>
      <c r="E59" s="22" t="s">
        <v>125</v>
      </c>
      <c r="F59" s="40">
        <v>237.9</v>
      </c>
      <c r="G59" s="40"/>
      <c r="H59" s="40">
        <f>ROUND(F59*AE59,2)</f>
        <v>0</v>
      </c>
      <c r="I59" s="40">
        <f>J59-H59</f>
        <v>0</v>
      </c>
      <c r="J59" s="40">
        <f>ROUND(F59*G59,2)</f>
        <v>0</v>
      </c>
      <c r="K59" s="40">
        <v>0</v>
      </c>
      <c r="L59" s="40">
        <f>F59*K59</f>
        <v>0</v>
      </c>
      <c r="N59" s="41" t="s">
        <v>89</v>
      </c>
      <c r="O59" s="40">
        <f>IF(N59="5",I59,0)</f>
        <v>0</v>
      </c>
      <c r="Z59" s="40">
        <f>IF(AD59=0,J59,0)</f>
        <v>0</v>
      </c>
      <c r="AA59" s="40">
        <f>IF(AD59=10,J59,0)</f>
        <v>0</v>
      </c>
      <c r="AB59" s="40">
        <f>IF(AD59=20,J59,0)</f>
        <v>0</v>
      </c>
      <c r="AD59" s="40">
        <v>20</v>
      </c>
      <c r="AE59" s="40">
        <f>G59*0</f>
        <v>0</v>
      </c>
      <c r="AF59" s="40">
        <f>G59*(1-0)</f>
        <v>0</v>
      </c>
    </row>
    <row r="60" spans="1:32" ht="12.75">
      <c r="A60" s="44" t="s">
        <v>185</v>
      </c>
      <c r="B60" s="44"/>
      <c r="C60" s="44" t="s">
        <v>246</v>
      </c>
      <c r="D60" s="44" t="s">
        <v>247</v>
      </c>
      <c r="E60" s="44" t="s">
        <v>125</v>
      </c>
      <c r="F60" s="45">
        <v>15.86</v>
      </c>
      <c r="G60" s="45"/>
      <c r="H60" s="45">
        <f>ROUND(F60*AE60,2)</f>
        <v>0</v>
      </c>
      <c r="I60" s="45">
        <f>J60-H60</f>
        <v>0</v>
      </c>
      <c r="J60" s="45">
        <f>ROUND(F60*G60,2)</f>
        <v>0</v>
      </c>
      <c r="K60" s="45">
        <v>0</v>
      </c>
      <c r="L60" s="45">
        <f>F60*K60</f>
        <v>0</v>
      </c>
      <c r="N60" s="41" t="s">
        <v>89</v>
      </c>
      <c r="O60" s="40">
        <f>IF(N60="5",I60,0)</f>
        <v>0</v>
      </c>
      <c r="Z60" s="40">
        <f>IF(AD60=0,J60,0)</f>
        <v>0</v>
      </c>
      <c r="AA60" s="40">
        <f>IF(AD60=10,J60,0)</f>
        <v>0</v>
      </c>
      <c r="AB60" s="40">
        <f>IF(AD60=20,J60,0)</f>
        <v>0</v>
      </c>
      <c r="AD60" s="40">
        <v>20</v>
      </c>
      <c r="AE60" s="40">
        <f>G60*0</f>
        <v>0</v>
      </c>
      <c r="AF60" s="40">
        <f>G60*(1-0)</f>
        <v>0</v>
      </c>
    </row>
    <row r="61" spans="1:28" ht="12.75">
      <c r="A61" s="46"/>
      <c r="B61" s="46"/>
      <c r="C61" s="46"/>
      <c r="D61" s="46"/>
      <c r="E61" s="46"/>
      <c r="F61" s="46"/>
      <c r="G61" s="46"/>
      <c r="H61" s="135" t="s">
        <v>248</v>
      </c>
      <c r="I61" s="136"/>
      <c r="J61" s="47">
        <f>J12+J15+J20+J22+J25+J27+J29+J32+J38+J42+J44+J46+J49+J55</f>
        <v>0</v>
      </c>
      <c r="K61" s="46"/>
      <c r="L61" s="46"/>
      <c r="Z61" s="48">
        <f>SUM(Z13:Z60)</f>
        <v>0</v>
      </c>
      <c r="AA61" s="48">
        <f>SUM(AA13:AA60)</f>
        <v>0</v>
      </c>
      <c r="AB61" s="48">
        <f>SUM(AB13:AB60)</f>
        <v>0</v>
      </c>
    </row>
  </sheetData>
  <sheetProtection/>
  <mergeCells count="42">
    <mergeCell ref="I4:I5"/>
    <mergeCell ref="J4:L5"/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8:I9"/>
    <mergeCell ref="J8:L9"/>
    <mergeCell ref="A6:C7"/>
    <mergeCell ref="D6:D7"/>
    <mergeCell ref="E6:F7"/>
    <mergeCell ref="G6:H7"/>
    <mergeCell ref="I6:I7"/>
    <mergeCell ref="J6:L7"/>
    <mergeCell ref="D20:G20"/>
    <mergeCell ref="D22:G22"/>
    <mergeCell ref="A8:C9"/>
    <mergeCell ref="D8:D9"/>
    <mergeCell ref="E8:F9"/>
    <mergeCell ref="G8:H9"/>
    <mergeCell ref="H10:J10"/>
    <mergeCell ref="K10:L10"/>
    <mergeCell ref="D12:G12"/>
    <mergeCell ref="D15:G15"/>
    <mergeCell ref="H61:I61"/>
    <mergeCell ref="D25:G25"/>
    <mergeCell ref="D27:G27"/>
    <mergeCell ref="D29:G29"/>
    <mergeCell ref="D32:G32"/>
    <mergeCell ref="D38:G38"/>
    <mergeCell ref="D42:G42"/>
    <mergeCell ref="D44:G44"/>
    <mergeCell ref="D46:G46"/>
    <mergeCell ref="D49:G49"/>
    <mergeCell ref="D55:G5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Marcel Karch, Návsí 907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Rekapitulace nákladů na provedení stavby</dc:title>
  <dc:subject/>
  <dc:creator>Ing.Karch Marcel</dc:creator>
  <cp:keywords/>
  <dc:description/>
  <cp:lastModifiedBy>MH-Labaj</cp:lastModifiedBy>
  <cp:lastPrinted>2012-01-25T10:57:44Z</cp:lastPrinted>
  <dcterms:created xsi:type="dcterms:W3CDTF">2006-06-30T15:51:31Z</dcterms:created>
  <dcterms:modified xsi:type="dcterms:W3CDTF">2013-01-07T13:39:52Z</dcterms:modified>
  <cp:category/>
  <cp:version/>
  <cp:contentType/>
  <cp:contentStatus/>
</cp:coreProperties>
</file>