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<sst xmlns="http://schemas.openxmlformats.org/spreadsheetml/2006/main" count="394" uniqueCount="241">
  <si>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</si>
  <si>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</si>
  <si>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</si>
  <si>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</si>
  <si>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</si>
  <si>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</si>
  <si>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</si>
  <si>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</si>
  <si>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</si>
  <si>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</si>
  <si>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</si>
  <si>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</si>
  <si>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</si>
  <si>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</si>
  <si>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</si>
  <si>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</si>
  <si>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</si>
  <si>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</si>
  <si>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</si>
  <si>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</si>
  <si>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</si>
  <si>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</si>
  <si>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</si>
  <si>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</si>
  <si>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</si>
  <si>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</si>
  <si>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</si>
  <si>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</si>
  <si>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</si>
  <si>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</si>
  <si>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</si>
  <si>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</si>
  <si>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</si>
  <si>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</si>
  <si>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</si>
  <si>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</si>
  <si>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</si>
  <si>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</si>
  <si>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</si>
  <si>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</si>
  <si>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</si>
  <si>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</si>
  <si>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</si>
  <si>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</si>
  <si>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</si>
  <si>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</si>
  <si>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</si>
  <si>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</si>
  <si>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</si>
  <si>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</si>
  <si>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</si>
  <si>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</si>
  <si>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</si>
  <si>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</si>
  <si>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</si>
  <si>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</si>
  <si>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</si>
  <si>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Objekt</t>
  </si>
  <si>
    <t>Kód</t>
  </si>
  <si>
    <t>61</t>
  </si>
  <si>
    <t>612425931R00</t>
  </si>
  <si>
    <t>998011002R00</t>
  </si>
  <si>
    <t>64</t>
  </si>
  <si>
    <t>641954451R00</t>
  </si>
  <si>
    <t>641960000R00</t>
  </si>
  <si>
    <t>764</t>
  </si>
  <si>
    <t>764510010RAB</t>
  </si>
  <si>
    <t>998764102R00</t>
  </si>
  <si>
    <t>766</t>
  </si>
  <si>
    <t>7660056VD</t>
  </si>
  <si>
    <t>766694113R00</t>
  </si>
  <si>
    <t>61187552</t>
  </si>
  <si>
    <t>766629303R00VD</t>
  </si>
  <si>
    <t>766002VD</t>
  </si>
  <si>
    <t>998766102R00</t>
  </si>
  <si>
    <t>767</t>
  </si>
  <si>
    <t>7670017VD</t>
  </si>
  <si>
    <t>998767102R00</t>
  </si>
  <si>
    <t>784</t>
  </si>
  <si>
    <t>784498911R00</t>
  </si>
  <si>
    <t>784195422R00</t>
  </si>
  <si>
    <t>94</t>
  </si>
  <si>
    <t>941941041R00</t>
  </si>
  <si>
    <t>941941841R00</t>
  </si>
  <si>
    <t>941941291RT3</t>
  </si>
  <si>
    <t>96</t>
  </si>
  <si>
    <t>967031132R00</t>
  </si>
  <si>
    <t>968061113R00</t>
  </si>
  <si>
    <t>968062356R00</t>
  </si>
  <si>
    <t>978015231R00</t>
  </si>
  <si>
    <t>960001VD</t>
  </si>
  <si>
    <t>S0</t>
  </si>
  <si>
    <t>979011111R00</t>
  </si>
  <si>
    <t>979082111R00</t>
  </si>
  <si>
    <t>979086213R00</t>
  </si>
  <si>
    <t>979084213R00</t>
  </si>
  <si>
    <t>979084419R00</t>
  </si>
  <si>
    <t>979999997R00</t>
  </si>
  <si>
    <t>979999998R00</t>
  </si>
  <si>
    <t>Radnice města Jablunkova - výměna oken III.etapa</t>
  </si>
  <si>
    <t>Jablunkov</t>
  </si>
  <si>
    <t>Zkrácený popis</t>
  </si>
  <si>
    <t>Úprava povrchů vnitřní</t>
  </si>
  <si>
    <t>Omítka vápenná vnitřního ostění - štuková</t>
  </si>
  <si>
    <t>Přesun hmot pro budovy zděné výšky do 12 m</t>
  </si>
  <si>
    <t>Osazování výplní otvorů</t>
  </si>
  <si>
    <t>Osazení rámů okenních dř.dvojitých, pl. do 10 m2</t>
  </si>
  <si>
    <t>Těsnění spár otvorových prvků PU pěnou</t>
  </si>
  <si>
    <t>Konstrukce klempířské</t>
  </si>
  <si>
    <t>Oplechování parapetů z Cu plechu, rš 330 mm</t>
  </si>
  <si>
    <t>Přesun hmot pro klempířské konstr., výšky do 12 m</t>
  </si>
  <si>
    <t>Konstrukce truhlářské</t>
  </si>
  <si>
    <t>Rozebrání dřevěných oken</t>
  </si>
  <si>
    <t>Montáž parapetních desek š.do 30 cm,dl.do 260 cm</t>
  </si>
  <si>
    <t>Deska parapetní dřevěná šířka 30 cm</t>
  </si>
  <si>
    <t>Montáž oken dřevěných</t>
  </si>
  <si>
    <t>Oprava okna kulturní památky (replika) D+M T22</t>
  </si>
  <si>
    <t>Oprava okna kulturní památky (replika) D+M T23</t>
  </si>
  <si>
    <t>Oprava okna kulturní památky (replika) D+M T24</t>
  </si>
  <si>
    <t>Oprava okna kulturní památky (replika) D+M T28</t>
  </si>
  <si>
    <t>Oprava okna kulturní památky (replika) D+M T29</t>
  </si>
  <si>
    <t>Oprava okna kulturní památky (replika) D+M T30</t>
  </si>
  <si>
    <t>Oprava okna kulturní památky (replika) D+M T31</t>
  </si>
  <si>
    <t>Oprava okna kulturní památky (replika) D+M T32</t>
  </si>
  <si>
    <t>Oprava okna kulturní památky (replika) D+M T33</t>
  </si>
  <si>
    <t>Oprava okna kulturní památky (replika) D+M T34</t>
  </si>
  <si>
    <t>Oprava okna kulturní památky (replika) D+M T35</t>
  </si>
  <si>
    <t>Oprava okna kulturní památky (replika) D+M T36</t>
  </si>
  <si>
    <t>Oprava okna kulturní památky (replika) D+M T37</t>
  </si>
  <si>
    <t>Oprava okna kulturní památky (replika) D+M T39</t>
  </si>
  <si>
    <t>Oprava okna kulturní památky (replika) D+M T40</t>
  </si>
  <si>
    <t>Oprava okna kulturní památky (replika) D+M T41</t>
  </si>
  <si>
    <t>Oprava okna kulturní památky (replika) D+M T42</t>
  </si>
  <si>
    <t>Přesun hmot pro truhlářské konstr., výšky do 12 m</t>
  </si>
  <si>
    <t>Konstrukce doplňkové stavební (zámečnické)</t>
  </si>
  <si>
    <t>Renovace kování - okno</t>
  </si>
  <si>
    <t>Přesun hmot pro zámečnické konstr., výšky do 12 m</t>
  </si>
  <si>
    <t>Malby</t>
  </si>
  <si>
    <t>Vyhlazení malířskou masou 1x, výška do 3,8 m</t>
  </si>
  <si>
    <t>Malba tekutá Primalex - 2 x</t>
  </si>
  <si>
    <t>Lešení a stavební výtahy</t>
  </si>
  <si>
    <t>Montáž lešení leh.řad.s podlahami,š.1,2 m, H 10 m</t>
  </si>
  <si>
    <t>Demontáž lešení leh.řad.s podlahami,š.1,2 m,H 10 m</t>
  </si>
  <si>
    <t>Příplatek za každý měsíc použití lešení k pol.1041</t>
  </si>
  <si>
    <t>Bourání konstrukcí</t>
  </si>
  <si>
    <t>Přisekání rovných ostění cihelných na MVC</t>
  </si>
  <si>
    <t>Vyvěšení dřevěných okenních křídel pl. nad 1,5 m2</t>
  </si>
  <si>
    <t>Vybourání dřevěných rámů oken dvojitých</t>
  </si>
  <si>
    <t>Otlučení omítek vnějších MVC v složit.1-4 do 20 %</t>
  </si>
  <si>
    <t>Demontáž parapetu vnitřního</t>
  </si>
  <si>
    <t>Přesuny sutí</t>
  </si>
  <si>
    <t>Svislá doprava suti a vybour. hmot za 2.NP a 1.PP</t>
  </si>
  <si>
    <t>Vnitrostaveništní doprava do 10 m</t>
  </si>
  <si>
    <t>Nakládání vybouraných hmot na dopravní prostředek</t>
  </si>
  <si>
    <t>Vodorovná doprava vybour. hmot po suchu do 1 km</t>
  </si>
  <si>
    <t>Příplatek za dopravu hmot za každý další 1 km - 15km</t>
  </si>
  <si>
    <t>Poplatek za skládku - beton, cihly, tašky a keramické výrobky, zemina a kamení</t>
  </si>
  <si>
    <t>Poplatek za skládku - dřevo, sklo, plasty</t>
  </si>
  <si>
    <t>Doba výstavby:</t>
  </si>
  <si>
    <t>Začátek výstavby:</t>
  </si>
  <si>
    <t>Konec výstavby:</t>
  </si>
  <si>
    <t>Zpracováno dne:</t>
  </si>
  <si>
    <t>M.j.</t>
  </si>
  <si>
    <t>m2</t>
  </si>
  <si>
    <t>t</t>
  </si>
  <si>
    <t>kus</t>
  </si>
  <si>
    <t>m</t>
  </si>
  <si>
    <t>ks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</si>
  <si>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</si>
  <si>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</si>
  <si>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</si>
  <si>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</si>
  <si>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</si>
  <si>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</si>
  <si>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</si>
  <si>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</si>
  <si>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</si>
  <si>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</si>
  <si>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</si>
  <si>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MěÚ Jablunkov</t>
  </si>
  <si>
    <t>Ing. Marcel Karch, Kaštanová 182, Třinec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</si>
  <si>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</si>
  <si>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</si>
  <si>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</si>
  <si>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</si>
  <si>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</si>
  <si>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</si>
  <si>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</si>
  <si>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</si>
  <si>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</si>
  <si>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</si>
  <si>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</si>
  <si>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</si>
  <si>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</si>
  <si>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</si>
  <si>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</si>
  <si>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</si>
  <si>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</si>
  <si>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</si>
  <si>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</si>
  <si>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</si>
  <si>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</si>
  <si>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</si>
  <si>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</si>
  <si>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</si>
  <si>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</si>
  <si>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10%</t>
  </si>
  <si>
    <t>Základ 20%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</si>
  <si>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</si>
  <si>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</si>
  <si>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</si>
  <si>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</si>
  <si>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</si>
  <si>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</si>
  <si>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</si>
  <si>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</si>
  <si>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</si>
  <si>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10%</t>
  </si>
  <si>
    <t>DPH 20%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</si>
  <si>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</si>
  <si>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</si>
  <si>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</si>
  <si>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</si>
  <si>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</si>
  <si>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</si>
  <si>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</si>
  <si>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</si>
  <si>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</si>
  <si>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</si>
  <si>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</si>
  <si>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</si>
  <si>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</si>
  <si>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</si>
  <si>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</si>
  <si>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</si>
  <si>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</si>
  <si>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00296759/</t>
  </si>
  <si>
    <t>18104975/5904060393</t>
  </si>
  <si>
    <t>Přemysl Cieslar</t>
  </si>
  <si>
    <t>výměna oken III.etapa</t>
  </si>
  <si>
    <t>Radnice města Jablunkova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</si>
</sst>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1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33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3" fillId="33" borderId="16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6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6" fillId="33" borderId="35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 applyProtection="1">
      <alignment horizontal="left" vertical="center"/>
      <protection/>
    </xf>
    <xf numFmtId="49" fontId="7" fillId="0" borderId="37" xfId="0" applyNumberFormat="1" applyFont="1" applyFill="1" applyBorder="1" applyAlignment="1" applyProtection="1">
      <alignment horizontal="left" vertical="center"/>
      <protection/>
    </xf>
    <xf numFmtId="49" fontId="7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7" fillId="33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8" fillId="0" borderId="40" xfId="0" applyNumberFormat="1" applyFont="1" applyFill="1" applyBorder="1" applyAlignment="1" applyProtection="1">
      <alignment horizontal="left" vertical="center"/>
      <protection/>
    </xf>
    <xf numFmtId="49" fontId="8" fillId="0" borderId="32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49" fontId="8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42" xfId="0" applyNumberFormat="1" applyFont="1" applyFill="1" applyBorder="1" applyAlignment="1" applyProtection="1">
      <alignment horizontal="left" vertical="center"/>
      <protection/>
    </xf>
    <xf numFmtId="0" fontId="7" fillId="33" borderId="34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right" vertical="center"/>
      <protection/>
    </xf>
    <xf numFmtId="0" fontId="7" fillId="33" borderId="42" xfId="0" applyNumberFormat="1" applyFont="1" applyFill="1" applyBorder="1" applyAlignment="1" applyProtection="1">
      <alignment horizontal="right" vertical="center"/>
      <protection/>
    </xf>
    <xf numFmtId="0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45" xfId="0" applyNumberFormat="1" applyFont="1" applyFill="1" applyBorder="1" applyAlignment="1" applyProtection="1">
      <alignment horizontal="left" vertical="center"/>
      <protection/>
    </xf>
    <xf numFmtId="49" fontId="8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49" fontId="8" fillId="0" borderId="35" xfId="0" applyNumberFormat="1" applyFont="1" applyFill="1" applyBorder="1" applyAlignment="1" applyProtection="1">
      <alignment horizontal="righ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14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zoomScalePageLayoutView="0" workbookViewId="0" topLeftCell="A16">
      <selection activeCell="J6" sqref="J6:L7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52.0039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12.75">
      <c r="A2" s="2" t="s">
        <v>1</v>
      </c>
      <c r="B2" s="14"/>
      <c r="C2" s="14"/>
      <c r="D2" s="21" t="s">
        <v>99</v>
      </c>
      <c r="E2" s="26" t="s">
        <v>158</v>
      </c>
      <c r="F2" s="14"/>
      <c r="G2" s="26"/>
      <c r="H2" s="14"/>
      <c r="I2" s="26" t="s">
        <v>174</v>
      </c>
      <c r="J2" s="26" t="s">
        <v>179</v>
      </c>
      <c r="K2" s="14"/>
      <c r="L2" s="45"/>
      <c r="M2" s="48"/>
    </row>
    <row r="3" spans="1:13" ht="12.75">
      <c r="A3" s="3"/>
      <c r="B3" s="15"/>
      <c r="C3" s="15"/>
      <c r="D3" s="22"/>
      <c r="E3" s="15"/>
      <c r="F3" s="15"/>
      <c r="G3" s="15"/>
      <c r="H3" s="15"/>
      <c r="I3" s="15"/>
      <c r="J3" s="15"/>
      <c r="K3" s="15"/>
      <c r="L3" s="46"/>
      <c r="M3" s="48"/>
    </row>
    <row r="4" spans="1:13" ht="12.75">
      <c r="A4" s="4" t="s">
        <v>2</v>
      </c>
      <c r="B4" s="15"/>
      <c r="C4" s="15"/>
      <c r="D4" s="23"/>
      <c r="E4" s="23" t="s">
        <v>159</v>
      </c>
      <c r="F4" s="15"/>
      <c r="G4" s="32"/>
      <c r="H4" s="15"/>
      <c r="I4" s="23" t="s">
        <v>175</v>
      </c>
      <c r="J4" s="23" t="s">
        <v>180</v>
      </c>
      <c r="K4" s="15"/>
      <c r="L4" s="46"/>
      <c r="M4" s="48"/>
    </row>
    <row r="5" spans="1:13" ht="12.75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46"/>
      <c r="M5" s="48"/>
    </row>
    <row r="6" spans="1:13" ht="12.75">
      <c r="A6" s="4" t="s">
        <v>3</v>
      </c>
      <c r="B6" s="15"/>
      <c r="C6" s="15"/>
      <c r="D6" s="23" t="s">
        <v>100</v>
      </c>
      <c r="E6" s="23" t="s">
        <v>160</v>
      </c>
      <c r="F6" s="15"/>
      <c r="G6" s="15"/>
      <c r="H6" s="15"/>
      <c r="I6" s="23" t="s">
        <v>176</v>
      </c>
      <c r="J6" s="23"/>
      <c r="K6" s="15"/>
      <c r="L6" s="46"/>
      <c r="M6" s="48"/>
    </row>
    <row r="7" spans="1:13" ht="12.7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46"/>
      <c r="M7" s="48"/>
    </row>
    <row r="8" spans="1:13" ht="12.75">
      <c r="A8" s="4" t="s">
        <v>4</v>
      </c>
      <c r="B8" s="15"/>
      <c r="C8" s="15"/>
      <c r="D8" s="23"/>
      <c r="E8" s="23" t="s">
        <v>161</v>
      </c>
      <c r="F8" s="15"/>
      <c r="G8" s="32">
        <v>40883</v>
      </c>
      <c r="H8" s="15"/>
      <c r="I8" s="23" t="s">
        <v>177</v>
      </c>
      <c r="J8" s="23" t="s">
        <v>238</v>
      </c>
      <c r="K8" s="15"/>
      <c r="L8" s="46"/>
      <c r="M8" s="48"/>
    </row>
    <row r="9" spans="1:13" ht="12.75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47"/>
      <c r="M9" s="48"/>
    </row>
    <row r="10" spans="1:13" ht="12.75">
      <c r="A10" s="6" t="s">
        <v>5</v>
      </c>
      <c r="B10" s="17" t="s">
        <v>5</v>
      </c>
      <c r="C10" s="17" t="s">
        <v>5</v>
      </c>
      <c r="D10" s="17" t="s">
        <v>5</v>
      </c>
      <c r="E10" s="17" t="s">
        <v>5</v>
      </c>
      <c r="F10" s="17" t="s">
        <v>5</v>
      </c>
      <c r="G10" s="33" t="s">
        <v>169</v>
      </c>
      <c r="H10" s="36" t="s">
        <v>171</v>
      </c>
      <c r="I10" s="38"/>
      <c r="J10" s="41"/>
      <c r="K10" s="36" t="s">
        <v>182</v>
      </c>
      <c r="L10" s="41"/>
      <c r="M10" s="49"/>
    </row>
    <row r="11" spans="1:24" ht="12.75">
      <c r="A11" s="7" t="s">
        <v>6</v>
      </c>
      <c r="B11" s="18" t="s">
        <v>57</v>
      </c>
      <c r="C11" s="18" t="s">
        <v>58</v>
      </c>
      <c r="D11" s="18" t="s">
        <v>101</v>
      </c>
      <c r="E11" s="18" t="s">
        <v>162</v>
      </c>
      <c r="F11" s="29" t="s">
        <v>168</v>
      </c>
      <c r="G11" s="34" t="s">
        <v>170</v>
      </c>
      <c r="H11" s="37" t="s">
        <v>172</v>
      </c>
      <c r="I11" s="39" t="s">
        <v>178</v>
      </c>
      <c r="J11" s="42" t="s">
        <v>181</v>
      </c>
      <c r="K11" s="37" t="s">
        <v>169</v>
      </c>
      <c r="L11" s="42" t="s">
        <v>181</v>
      </c>
      <c r="M11" s="49"/>
      <c r="P11" s="44" t="s">
        <v>184</v>
      </c>
      <c r="Q11" s="44" t="s">
        <v>185</v>
      </c>
      <c r="R11" s="44" t="s">
        <v>189</v>
      </c>
      <c r="S11" s="44" t="s">
        <v>190</v>
      </c>
      <c r="T11" s="44" t="s">
        <v>191</v>
      </c>
      <c r="U11" s="44" t="s">
        <v>192</v>
      </c>
      <c r="V11" s="44" t="s">
        <v>193</v>
      </c>
      <c r="W11" s="44" t="s">
        <v>194</v>
      </c>
      <c r="X11" s="44" t="s">
        <v>195</v>
      </c>
    </row>
    <row r="12" spans="1:37" ht="12.75">
      <c r="A12" s="8"/>
      <c r="B12" s="8"/>
      <c r="C12" s="19" t="s">
        <v>59</v>
      </c>
      <c r="D12" s="24" t="s">
        <v>102</v>
      </c>
      <c r="E12" s="27"/>
      <c r="F12" s="27"/>
      <c r="G12" s="27"/>
      <c r="H12" s="51">
        <f>SUM(H13:H14)</f>
        <v>0</v>
      </c>
      <c r="I12" s="51">
        <f>SUM(I13:I14)</f>
        <v>0</v>
      </c>
      <c r="J12" s="51">
        <f>H12+I12</f>
        <v>0</v>
      </c>
      <c r="K12" s="43"/>
      <c r="L12" s="51">
        <f>SUM(L13:L14)</f>
        <v>4.0819125</v>
      </c>
      <c r="P12" s="52">
        <f>IF(Q12="PR",J12,SUM(O13:O14))</f>
        <v>0</v>
      </c>
      <c r="Q12" s="44" t="s">
        <v>186</v>
      </c>
      <c r="R12" s="52">
        <f>IF(Q12="HS",H12,0)</f>
        <v>0</v>
      </c>
      <c r="S12" s="52">
        <f>IF(Q12="HS",I12-P12,0)</f>
        <v>0</v>
      </c>
      <c r="T12" s="52">
        <f>IF(Q12="PS",H12,0)</f>
        <v>0</v>
      </c>
      <c r="U12" s="52">
        <f>IF(Q12="PS",I12-P12,0)</f>
        <v>0</v>
      </c>
      <c r="V12" s="52">
        <f>IF(Q12="MP",H12,0)</f>
        <v>0</v>
      </c>
      <c r="W12" s="52">
        <f>IF(Q12="MP",I12-P12,0)</f>
        <v>0</v>
      </c>
      <c r="X12" s="52">
        <f>IF(Q12="OM",H12,0)</f>
        <v>0</v>
      </c>
      <c r="Y12" s="44"/>
      <c r="AI12" s="52">
        <f>SUM(Z13:Z14)</f>
        <v>0</v>
      </c>
      <c r="AJ12" s="52">
        <f>SUM(AA13:AA14)</f>
        <v>0</v>
      </c>
      <c r="AK12" s="52">
        <f>SUM(AB13:AB14)</f>
        <v>0</v>
      </c>
    </row>
    <row r="13" spans="1:32" ht="12.75">
      <c r="A13" s="9" t="s">
        <v>7</v>
      </c>
      <c r="B13" s="9"/>
      <c r="C13" s="9" t="s">
        <v>60</v>
      </c>
      <c r="D13" s="9" t="s">
        <v>103</v>
      </c>
      <c r="E13" s="9" t="s">
        <v>163</v>
      </c>
      <c r="F13" s="30">
        <v>71.25</v>
      </c>
      <c r="H13" s="30">
        <f>ROUND(F13*AE13,2)</f>
        <v>0</v>
      </c>
      <c r="I13" s="30">
        <f>J13-H13</f>
        <v>0</v>
      </c>
      <c r="J13" s="30">
        <f>ROUND(F13*G13,2)</f>
        <v>0</v>
      </c>
      <c r="K13" s="30">
        <v>0.05729</v>
      </c>
      <c r="L13" s="30">
        <f>F13*K13</f>
        <v>4.0819125</v>
      </c>
      <c r="N13" s="50" t="s">
        <v>7</v>
      </c>
      <c r="O13" s="30">
        <f>IF(N13="5",I13,0)</f>
        <v>0</v>
      </c>
      <c r="Z13" s="30">
        <f>IF(AD13=0,J13,0)</f>
        <v>0</v>
      </c>
      <c r="AA13" s="30">
        <f>IF(AD13=10,J13,0)</f>
        <v>0</v>
      </c>
      <c r="AB13" s="30">
        <f>IF(AD13=20,J13,0)</f>
        <v>0</v>
      </c>
      <c r="AD13" s="30">
        <v>20</v>
      </c>
      <c r="AE13" s="30">
        <f>G13*0.190533513097072</f>
        <v>0</v>
      </c>
      <c r="AF13" s="30">
        <f>G13*(1-0.190533513097072)</f>
        <v>0</v>
      </c>
    </row>
    <row r="14" spans="1:32" ht="12.75">
      <c r="A14" s="9" t="s">
        <v>8</v>
      </c>
      <c r="B14" s="9"/>
      <c r="C14" s="9" t="s">
        <v>61</v>
      </c>
      <c r="D14" s="9" t="s">
        <v>104</v>
      </c>
      <c r="E14" s="9" t="s">
        <v>164</v>
      </c>
      <c r="F14" s="30">
        <v>4.08191</v>
      </c>
      <c r="H14" s="30">
        <f>ROUND(F14*AE14,2)</f>
        <v>0</v>
      </c>
      <c r="I14" s="30">
        <f>J14-H14</f>
        <v>0</v>
      </c>
      <c r="J14" s="30">
        <f>ROUND(F14*G14,2)</f>
        <v>0</v>
      </c>
      <c r="K14" s="30">
        <v>0</v>
      </c>
      <c r="L14" s="30">
        <f>F14*K14</f>
        <v>0</v>
      </c>
      <c r="N14" s="50" t="s">
        <v>11</v>
      </c>
      <c r="O14" s="30">
        <f>IF(N14="5",I14,0)</f>
        <v>0</v>
      </c>
      <c r="Z14" s="30">
        <f>IF(AD14=0,J14,0)</f>
        <v>0</v>
      </c>
      <c r="AA14" s="30">
        <f>IF(AD14=10,J14,0)</f>
        <v>0</v>
      </c>
      <c r="AB14" s="30">
        <f>IF(AD14=20,J14,0)</f>
        <v>0</v>
      </c>
      <c r="AD14" s="30">
        <v>20</v>
      </c>
      <c r="AE14" s="30">
        <f>G14*0</f>
        <v>0</v>
      </c>
      <c r="AF14" s="30">
        <f>G14*(1-0)</f>
        <v>0</v>
      </c>
    </row>
    <row r="15" spans="1:37" ht="12.75">
      <c r="A15" s="10"/>
      <c r="B15" s="10"/>
      <c r="C15" s="20" t="s">
        <v>62</v>
      </c>
      <c r="D15" s="25" t="s">
        <v>105</v>
      </c>
      <c r="E15" s="28"/>
      <c r="F15" s="28"/>
      <c r="G15" s="28"/>
      <c r="H15" s="52">
        <f>SUM(H16:H18)</f>
        <v>0</v>
      </c>
      <c r="I15" s="52">
        <f>SUM(I16:I18)</f>
        <v>0</v>
      </c>
      <c r="J15" s="52">
        <f>H15+I15</f>
        <v>0</v>
      </c>
      <c r="K15" s="44"/>
      <c r="L15" s="52">
        <f>SUM(L16:L18)</f>
        <v>1.6326500000000002</v>
      </c>
      <c r="P15" s="52">
        <f>IF(Q15="PR",J15,SUM(O16:O18))</f>
        <v>0</v>
      </c>
      <c r="Q15" s="44" t="s">
        <v>186</v>
      </c>
      <c r="R15" s="52">
        <f>IF(Q15="HS",H15,0)</f>
        <v>0</v>
      </c>
      <c r="S15" s="52">
        <f>IF(Q15="HS",I15-P15,0)</f>
        <v>0</v>
      </c>
      <c r="T15" s="52">
        <f>IF(Q15="PS",H15,0)</f>
        <v>0</v>
      </c>
      <c r="U15" s="52">
        <f>IF(Q15="PS",I15-P15,0)</f>
        <v>0</v>
      </c>
      <c r="V15" s="52">
        <f>IF(Q15="MP",H15,0)</f>
        <v>0</v>
      </c>
      <c r="W15" s="52">
        <f>IF(Q15="MP",I15-P15,0)</f>
        <v>0</v>
      </c>
      <c r="X15" s="52">
        <f>IF(Q15="OM",H15,0)</f>
        <v>0</v>
      </c>
      <c r="Y15" s="44"/>
      <c r="AI15" s="52">
        <f>SUM(Z16:Z18)</f>
        <v>0</v>
      </c>
      <c r="AJ15" s="52">
        <f>SUM(AA16:AA18)</f>
        <v>0</v>
      </c>
      <c r="AK15" s="52">
        <f>SUM(AB16:AB18)</f>
        <v>0</v>
      </c>
    </row>
    <row r="16" spans="1:32" ht="12.75">
      <c r="A16" s="9" t="s">
        <v>9</v>
      </c>
      <c r="B16" s="9"/>
      <c r="C16" s="9" t="s">
        <v>63</v>
      </c>
      <c r="D16" s="9" t="s">
        <v>106</v>
      </c>
      <c r="E16" s="9" t="s">
        <v>165</v>
      </c>
      <c r="F16" s="30">
        <v>17</v>
      </c>
      <c r="H16" s="30">
        <f>ROUND(F16*AE16,2)</f>
        <v>0</v>
      </c>
      <c r="I16" s="30">
        <f>J16-H16</f>
        <v>0</v>
      </c>
      <c r="J16" s="30">
        <f>ROUND(F16*G16,2)</f>
        <v>0</v>
      </c>
      <c r="K16" s="30">
        <v>0.0952</v>
      </c>
      <c r="L16" s="30">
        <f>F16*K16</f>
        <v>1.6184</v>
      </c>
      <c r="N16" s="50" t="s">
        <v>7</v>
      </c>
      <c r="O16" s="30">
        <f>IF(N16="5",I16,0)</f>
        <v>0</v>
      </c>
      <c r="Z16" s="30">
        <f>IF(AD16=0,J16,0)</f>
        <v>0</v>
      </c>
      <c r="AA16" s="30">
        <f>IF(AD16=10,J16,0)</f>
        <v>0</v>
      </c>
      <c r="AB16" s="30">
        <f>IF(AD16=20,J16,0)</f>
        <v>0</v>
      </c>
      <c r="AD16" s="30">
        <v>20</v>
      </c>
      <c r="AE16" s="30">
        <f>G16*0.325967155295933</f>
        <v>0</v>
      </c>
      <c r="AF16" s="30">
        <f>G16*(1-0.325967155295933)</f>
        <v>0</v>
      </c>
    </row>
    <row r="17" spans="1:32" ht="12.75">
      <c r="A17" s="9" t="s">
        <v>10</v>
      </c>
      <c r="B17" s="9"/>
      <c r="C17" s="9" t="s">
        <v>64</v>
      </c>
      <c r="D17" s="9" t="s">
        <v>107</v>
      </c>
      <c r="E17" s="9" t="s">
        <v>166</v>
      </c>
      <c r="F17" s="30">
        <v>142.5</v>
      </c>
      <c r="H17" s="30">
        <f>ROUND(F17*AE17,2)</f>
        <v>0</v>
      </c>
      <c r="I17" s="30">
        <f>J17-H17</f>
        <v>0</v>
      </c>
      <c r="J17" s="30">
        <f>ROUND(F17*G17,2)</f>
        <v>0</v>
      </c>
      <c r="K17" s="30">
        <v>0.0001</v>
      </c>
      <c r="L17" s="30">
        <f>F17*K17</f>
        <v>0.01425</v>
      </c>
      <c r="N17" s="50" t="s">
        <v>7</v>
      </c>
      <c r="O17" s="30">
        <f>IF(N17="5",I17,0)</f>
        <v>0</v>
      </c>
      <c r="Z17" s="30">
        <f>IF(AD17=0,J17,0)</f>
        <v>0</v>
      </c>
      <c r="AA17" s="30">
        <f>IF(AD17=10,J17,0)</f>
        <v>0</v>
      </c>
      <c r="AB17" s="30">
        <f>IF(AD17=20,J17,0)</f>
        <v>0</v>
      </c>
      <c r="AD17" s="30">
        <v>20</v>
      </c>
      <c r="AE17" s="30">
        <f>G17*0.183510638297872</f>
        <v>0</v>
      </c>
      <c r="AF17" s="30">
        <f>G17*(1-0.183510638297872)</f>
        <v>0</v>
      </c>
    </row>
    <row r="18" spans="1:32" ht="12.75">
      <c r="A18" s="9" t="s">
        <v>11</v>
      </c>
      <c r="B18" s="9"/>
      <c r="C18" s="9" t="s">
        <v>61</v>
      </c>
      <c r="D18" s="9" t="s">
        <v>104</v>
      </c>
      <c r="E18" s="9" t="s">
        <v>164</v>
      </c>
      <c r="F18" s="30">
        <v>1.63265</v>
      </c>
      <c r="H18" s="30">
        <f>ROUND(F18*AE18,2)</f>
        <v>0</v>
      </c>
      <c r="I18" s="30">
        <f>J18-H18</f>
        <v>0</v>
      </c>
      <c r="J18" s="30">
        <f>ROUND(F18*G18,2)</f>
        <v>0</v>
      </c>
      <c r="K18" s="30">
        <v>0</v>
      </c>
      <c r="L18" s="30">
        <f>F18*K18</f>
        <v>0</v>
      </c>
      <c r="N18" s="50" t="s">
        <v>11</v>
      </c>
      <c r="O18" s="30">
        <f>IF(N18="5",I18,0)</f>
        <v>0</v>
      </c>
      <c r="Z18" s="30">
        <f>IF(AD18=0,J18,0)</f>
        <v>0</v>
      </c>
      <c r="AA18" s="30">
        <f>IF(AD18=10,J18,0)</f>
        <v>0</v>
      </c>
      <c r="AB18" s="30">
        <f>IF(AD18=20,J18,0)</f>
        <v>0</v>
      </c>
      <c r="AD18" s="30">
        <v>20</v>
      </c>
      <c r="AE18" s="30">
        <f>G18*0</f>
        <v>0</v>
      </c>
      <c r="AF18" s="30">
        <f>G18*(1-0)</f>
        <v>0</v>
      </c>
    </row>
    <row r="19" spans="1:37" ht="12.75">
      <c r="A19" s="10"/>
      <c r="B19" s="10"/>
      <c r="C19" s="20" t="s">
        <v>65</v>
      </c>
      <c r="D19" s="25" t="s">
        <v>108</v>
      </c>
      <c r="E19" s="28"/>
      <c r="F19" s="28"/>
      <c r="G19" s="28"/>
      <c r="H19" s="52">
        <f>SUM(H20:H21)</f>
        <v>0</v>
      </c>
      <c r="I19" s="52">
        <f>SUM(I20:I21)</f>
        <v>0</v>
      </c>
      <c r="J19" s="52">
        <f>H19+I19</f>
        <v>0</v>
      </c>
      <c r="K19" s="44"/>
      <c r="L19" s="52">
        <f>SUM(L20:L21)</f>
        <v>0.118976</v>
      </c>
      <c r="P19" s="52">
        <f>IF(Q19="PR",J19,SUM(O20:O21))</f>
        <v>0</v>
      </c>
      <c r="Q19" s="44" t="s">
        <v>187</v>
      </c>
      <c r="R19" s="52">
        <f>IF(Q19="HS",H19,0)</f>
        <v>0</v>
      </c>
      <c r="S19" s="52">
        <f>IF(Q19="HS",I19-P19,0)</f>
        <v>0</v>
      </c>
      <c r="T19" s="52">
        <f>IF(Q19="PS",H19,0)</f>
        <v>0</v>
      </c>
      <c r="U19" s="52">
        <f>IF(Q19="PS",I19-P19,0)</f>
        <v>0</v>
      </c>
      <c r="V19" s="52">
        <f>IF(Q19="MP",H19,0)</f>
        <v>0</v>
      </c>
      <c r="W19" s="52">
        <f>IF(Q19="MP",I19-P19,0)</f>
        <v>0</v>
      </c>
      <c r="X19" s="52">
        <f>IF(Q19="OM",H19,0)</f>
        <v>0</v>
      </c>
      <c r="Y19" s="44"/>
      <c r="AI19" s="52">
        <f>SUM(Z20:Z21)</f>
        <v>0</v>
      </c>
      <c r="AJ19" s="52">
        <f>SUM(AA20:AA21)</f>
        <v>0</v>
      </c>
      <c r="AK19" s="52">
        <f>SUM(AB20:AB21)</f>
        <v>0</v>
      </c>
    </row>
    <row r="20" spans="1:32" ht="12.75">
      <c r="A20" s="9" t="s">
        <v>12</v>
      </c>
      <c r="B20" s="9"/>
      <c r="C20" s="9" t="s">
        <v>66</v>
      </c>
      <c r="D20" s="9" t="s">
        <v>109</v>
      </c>
      <c r="E20" s="9" t="s">
        <v>166</v>
      </c>
      <c r="F20" s="30">
        <v>28.6</v>
      </c>
      <c r="H20" s="30">
        <f>ROUND(F20*AE20,2)</f>
        <v>0</v>
      </c>
      <c r="I20" s="30">
        <f>J20-H20</f>
        <v>0</v>
      </c>
      <c r="J20" s="30">
        <f>ROUND(F20*G20,2)</f>
        <v>0</v>
      </c>
      <c r="K20" s="30">
        <v>0.00416</v>
      </c>
      <c r="L20" s="30">
        <f>F20*K20</f>
        <v>0.118976</v>
      </c>
      <c r="N20" s="50" t="s">
        <v>9</v>
      </c>
      <c r="O20" s="30">
        <f>IF(N20="5",I20,0)</f>
        <v>0</v>
      </c>
      <c r="Z20" s="30">
        <f>IF(AD20=0,J20,0)</f>
        <v>0</v>
      </c>
      <c r="AA20" s="30">
        <f>IF(AD20=10,J20,0)</f>
        <v>0</v>
      </c>
      <c r="AB20" s="30">
        <f>IF(AD20=20,J20,0)</f>
        <v>0</v>
      </c>
      <c r="AD20" s="30">
        <v>20</v>
      </c>
      <c r="AE20" s="30">
        <f>G20*0.612707163970906</f>
        <v>0</v>
      </c>
      <c r="AF20" s="30">
        <f>G20*(1-0.612707163970906)</f>
        <v>0</v>
      </c>
    </row>
    <row r="21" spans="1:32" ht="12.75">
      <c r="A21" s="9" t="s">
        <v>13</v>
      </c>
      <c r="B21" s="9"/>
      <c r="C21" s="9" t="s">
        <v>67</v>
      </c>
      <c r="D21" s="9" t="s">
        <v>110</v>
      </c>
      <c r="E21" s="9" t="s">
        <v>164</v>
      </c>
      <c r="F21" s="30">
        <v>0.11898</v>
      </c>
      <c r="H21" s="30">
        <f>ROUND(F21*AE21,2)</f>
        <v>0</v>
      </c>
      <c r="I21" s="30">
        <f>J21-H21</f>
        <v>0</v>
      </c>
      <c r="J21" s="30">
        <f>ROUND(F21*G21,2)</f>
        <v>0</v>
      </c>
      <c r="K21" s="30">
        <v>0</v>
      </c>
      <c r="L21" s="30">
        <f>F21*K21</f>
        <v>0</v>
      </c>
      <c r="N21" s="50" t="s">
        <v>11</v>
      </c>
      <c r="O21" s="30">
        <f>IF(N21="5",I21,0)</f>
        <v>0</v>
      </c>
      <c r="Z21" s="30">
        <f>IF(AD21=0,J21,0)</f>
        <v>0</v>
      </c>
      <c r="AA21" s="30">
        <f>IF(AD21=10,J21,0)</f>
        <v>0</v>
      </c>
      <c r="AB21" s="30">
        <f>IF(AD21=20,J21,0)</f>
        <v>0</v>
      </c>
      <c r="AD21" s="30">
        <v>20</v>
      </c>
      <c r="AE21" s="30">
        <f>G21*0</f>
        <v>0</v>
      </c>
      <c r="AF21" s="30">
        <f>G21*(1-0)</f>
        <v>0</v>
      </c>
    </row>
    <row r="22" spans="1:37" ht="12.75">
      <c r="A22" s="10"/>
      <c r="B22" s="10"/>
      <c r="C22" s="20" t="s">
        <v>68</v>
      </c>
      <c r="D22" s="25" t="s">
        <v>111</v>
      </c>
      <c r="E22" s="28"/>
      <c r="F22" s="28"/>
      <c r="G22" s="28"/>
      <c r="H22" s="52">
        <f>SUM(H23:H44)</f>
        <v>0</v>
      </c>
      <c r="I22" s="52">
        <f>SUM(I23:I44)</f>
        <v>0</v>
      </c>
      <c r="J22" s="52">
        <f>H22+I22</f>
        <v>0</v>
      </c>
      <c r="K22" s="44"/>
      <c r="L22" s="52">
        <f>SUM(L23:L44)</f>
        <v>1.2125420000000007</v>
      </c>
      <c r="P22" s="52">
        <f>IF(Q22="PR",J22,SUM(O23:O44))</f>
        <v>0</v>
      </c>
      <c r="Q22" s="44" t="s">
        <v>187</v>
      </c>
      <c r="R22" s="52">
        <f>IF(Q22="HS",H22,0)</f>
        <v>0</v>
      </c>
      <c r="S22" s="52">
        <f>IF(Q22="HS",I22-P22,0)</f>
        <v>0</v>
      </c>
      <c r="T22" s="52">
        <f>IF(Q22="PS",H22,0)</f>
        <v>0</v>
      </c>
      <c r="U22" s="52">
        <f>IF(Q22="PS",I22-P22,0)</f>
        <v>0</v>
      </c>
      <c r="V22" s="52">
        <f>IF(Q22="MP",H22,0)</f>
        <v>0</v>
      </c>
      <c r="W22" s="52">
        <f>IF(Q22="MP",I22-P22,0)</f>
        <v>0</v>
      </c>
      <c r="X22" s="52">
        <f>IF(Q22="OM",H22,0)</f>
        <v>0</v>
      </c>
      <c r="Y22" s="44"/>
      <c r="AI22" s="52">
        <f>SUM(Z23:Z44)</f>
        <v>0</v>
      </c>
      <c r="AJ22" s="52">
        <f>SUM(AA23:AA44)</f>
        <v>0</v>
      </c>
      <c r="AK22" s="52">
        <f>SUM(AB23:AB44)</f>
        <v>0</v>
      </c>
    </row>
    <row r="23" spans="1:32" ht="12.75">
      <c r="A23" s="9" t="s">
        <v>14</v>
      </c>
      <c r="B23" s="9"/>
      <c r="C23" s="9" t="s">
        <v>69</v>
      </c>
      <c r="D23" s="9" t="s">
        <v>112</v>
      </c>
      <c r="E23" s="9" t="s">
        <v>163</v>
      </c>
      <c r="F23" s="30">
        <v>68.55</v>
      </c>
      <c r="H23" s="30">
        <f aca="true" t="shared" si="0" ref="H23:H44">ROUND(F23*AE23,2)</f>
        <v>0</v>
      </c>
      <c r="I23" s="30">
        <f aca="true" t="shared" si="1" ref="I23:I44">J23-H23</f>
        <v>0</v>
      </c>
      <c r="J23" s="30">
        <f aca="true" t="shared" si="2" ref="J23:J44">ROUND(F23*G23,2)</f>
        <v>0</v>
      </c>
      <c r="K23" s="30">
        <v>0.003</v>
      </c>
      <c r="L23" s="30">
        <f aca="true" t="shared" si="3" ref="L23:L44">F23*K23</f>
        <v>0.20565</v>
      </c>
      <c r="N23" s="50" t="s">
        <v>7</v>
      </c>
      <c r="O23" s="30">
        <f aca="true" t="shared" si="4" ref="O23:O44">IF(N23="5",I23,0)</f>
        <v>0</v>
      </c>
      <c r="Z23" s="30">
        <f aca="true" t="shared" si="5" ref="Z23:Z44">IF(AD23=0,J23,0)</f>
        <v>0</v>
      </c>
      <c r="AA23" s="30">
        <f aca="true" t="shared" si="6" ref="AA23:AA44">IF(AD23=10,J23,0)</f>
        <v>0</v>
      </c>
      <c r="AB23" s="30">
        <f aca="true" t="shared" si="7" ref="AB23:AB44">IF(AD23=20,J23,0)</f>
        <v>0</v>
      </c>
      <c r="AD23" s="30">
        <v>20</v>
      </c>
      <c r="AE23" s="30">
        <f>G23*0.197604790419162</f>
        <v>0</v>
      </c>
      <c r="AF23" s="30">
        <f>G23*(1-0.197604790419162)</f>
        <v>0</v>
      </c>
    </row>
    <row r="24" spans="1:32" ht="12.75">
      <c r="A24" s="9" t="s">
        <v>15</v>
      </c>
      <c r="B24" s="9"/>
      <c r="C24" s="9" t="s">
        <v>70</v>
      </c>
      <c r="D24" s="9" t="s">
        <v>113</v>
      </c>
      <c r="E24" s="9" t="s">
        <v>165</v>
      </c>
      <c r="F24" s="30">
        <v>17</v>
      </c>
      <c r="H24" s="30">
        <f t="shared" si="0"/>
        <v>0</v>
      </c>
      <c r="I24" s="30">
        <f t="shared" si="1"/>
        <v>0</v>
      </c>
      <c r="J24" s="30">
        <f t="shared" si="2"/>
        <v>0</v>
      </c>
      <c r="K24" s="30">
        <v>2E-05</v>
      </c>
      <c r="L24" s="30">
        <f t="shared" si="3"/>
        <v>0.00034</v>
      </c>
      <c r="N24" s="50" t="s">
        <v>7</v>
      </c>
      <c r="O24" s="30">
        <f t="shared" si="4"/>
        <v>0</v>
      </c>
      <c r="Z24" s="30">
        <f t="shared" si="5"/>
        <v>0</v>
      </c>
      <c r="AA24" s="30">
        <f t="shared" si="6"/>
        <v>0</v>
      </c>
      <c r="AB24" s="30">
        <f t="shared" si="7"/>
        <v>0</v>
      </c>
      <c r="AD24" s="30">
        <v>20</v>
      </c>
      <c r="AE24" s="30">
        <f>G24*0.0184615384615385</f>
        <v>0</v>
      </c>
      <c r="AF24" s="30">
        <f>G24*(1-0.0184615384615385)</f>
        <v>0</v>
      </c>
    </row>
    <row r="25" spans="1:32" ht="12.75">
      <c r="A25" s="9" t="s">
        <v>16</v>
      </c>
      <c r="B25" s="9"/>
      <c r="C25" s="9" t="s">
        <v>71</v>
      </c>
      <c r="D25" s="9" t="s">
        <v>114</v>
      </c>
      <c r="E25" s="9" t="s">
        <v>166</v>
      </c>
      <c r="F25" s="30">
        <v>25.96</v>
      </c>
      <c r="H25" s="30">
        <f t="shared" si="0"/>
        <v>0</v>
      </c>
      <c r="I25" s="30">
        <f t="shared" si="1"/>
        <v>0</v>
      </c>
      <c r="J25" s="30">
        <f t="shared" si="2"/>
        <v>0</v>
      </c>
      <c r="K25" s="30">
        <v>0.00495</v>
      </c>
      <c r="L25" s="30">
        <f t="shared" si="3"/>
        <v>0.128502</v>
      </c>
      <c r="N25" s="50" t="s">
        <v>183</v>
      </c>
      <c r="O25" s="30">
        <f t="shared" si="4"/>
        <v>0</v>
      </c>
      <c r="Z25" s="30">
        <f t="shared" si="5"/>
        <v>0</v>
      </c>
      <c r="AA25" s="30">
        <f t="shared" si="6"/>
        <v>0</v>
      </c>
      <c r="AB25" s="30">
        <f t="shared" si="7"/>
        <v>0</v>
      </c>
      <c r="AD25" s="30">
        <v>20</v>
      </c>
      <c r="AE25" s="30">
        <f>G25*1</f>
        <v>0</v>
      </c>
      <c r="AF25" s="30">
        <f>G25*(1-1)</f>
        <v>0</v>
      </c>
    </row>
    <row r="26" spans="1:32" ht="12.75">
      <c r="A26" s="9" t="s">
        <v>17</v>
      </c>
      <c r="B26" s="9"/>
      <c r="C26" s="9" t="s">
        <v>72</v>
      </c>
      <c r="D26" s="9" t="s">
        <v>115</v>
      </c>
      <c r="E26" s="9" t="s">
        <v>165</v>
      </c>
      <c r="F26" s="30">
        <v>17</v>
      </c>
      <c r="H26" s="30">
        <f t="shared" si="0"/>
        <v>0</v>
      </c>
      <c r="I26" s="30">
        <f t="shared" si="1"/>
        <v>0</v>
      </c>
      <c r="J26" s="30">
        <f t="shared" si="2"/>
        <v>0</v>
      </c>
      <c r="K26" s="30">
        <v>0.00165</v>
      </c>
      <c r="L26" s="30">
        <f t="shared" si="3"/>
        <v>0.02805</v>
      </c>
      <c r="N26" s="50" t="s">
        <v>7</v>
      </c>
      <c r="O26" s="30">
        <f t="shared" si="4"/>
        <v>0</v>
      </c>
      <c r="Z26" s="30">
        <f t="shared" si="5"/>
        <v>0</v>
      </c>
      <c r="AA26" s="30">
        <f t="shared" si="6"/>
        <v>0</v>
      </c>
      <c r="AB26" s="30">
        <f t="shared" si="7"/>
        <v>0</v>
      </c>
      <c r="AD26" s="30">
        <v>20</v>
      </c>
      <c r="AE26" s="30">
        <f>G26*0.153285909654712</f>
        <v>0</v>
      </c>
      <c r="AF26" s="30">
        <f>G26*(1-0.153285909654712)</f>
        <v>0</v>
      </c>
    </row>
    <row r="27" spans="1:32" ht="12.75">
      <c r="A27" s="9" t="s">
        <v>18</v>
      </c>
      <c r="B27" s="9"/>
      <c r="C27" s="9" t="s">
        <v>73</v>
      </c>
      <c r="D27" s="9" t="s">
        <v>116</v>
      </c>
      <c r="E27" s="9" t="s">
        <v>167</v>
      </c>
      <c r="F27" s="30">
        <v>1</v>
      </c>
      <c r="H27" s="30">
        <f t="shared" si="0"/>
        <v>0</v>
      </c>
      <c r="I27" s="30">
        <f t="shared" si="1"/>
        <v>0</v>
      </c>
      <c r="J27" s="30">
        <f t="shared" si="2"/>
        <v>0</v>
      </c>
      <c r="K27" s="30">
        <v>0.05</v>
      </c>
      <c r="L27" s="30">
        <f t="shared" si="3"/>
        <v>0.05</v>
      </c>
      <c r="N27" s="50" t="s">
        <v>7</v>
      </c>
      <c r="O27" s="30">
        <f t="shared" si="4"/>
        <v>0</v>
      </c>
      <c r="Z27" s="30">
        <f t="shared" si="5"/>
        <v>0</v>
      </c>
      <c r="AA27" s="30">
        <f t="shared" si="6"/>
        <v>0</v>
      </c>
      <c r="AB27" s="30">
        <f t="shared" si="7"/>
        <v>0</v>
      </c>
      <c r="AD27" s="30">
        <v>20</v>
      </c>
      <c r="AE27" s="30">
        <f aca="true" t="shared" si="8" ref="AE27:AE32">G27*0.390243902439024</f>
        <v>0</v>
      </c>
      <c r="AF27" s="30">
        <f aca="true" t="shared" si="9" ref="AF27:AF32">G27*(1-0.390243902439024)</f>
        <v>0</v>
      </c>
    </row>
    <row r="28" spans="1:32" ht="12.75">
      <c r="A28" s="9" t="s">
        <v>19</v>
      </c>
      <c r="B28" s="9"/>
      <c r="C28" s="9" t="s">
        <v>73</v>
      </c>
      <c r="D28" s="9" t="s">
        <v>117</v>
      </c>
      <c r="E28" s="9" t="s">
        <v>167</v>
      </c>
      <c r="F28" s="30">
        <v>1</v>
      </c>
      <c r="H28" s="30">
        <f t="shared" si="0"/>
        <v>0</v>
      </c>
      <c r="I28" s="30">
        <f t="shared" si="1"/>
        <v>0</v>
      </c>
      <c r="J28" s="30">
        <f t="shared" si="2"/>
        <v>0</v>
      </c>
      <c r="K28" s="30">
        <v>0.05</v>
      </c>
      <c r="L28" s="30">
        <f t="shared" si="3"/>
        <v>0.05</v>
      </c>
      <c r="N28" s="50" t="s">
        <v>7</v>
      </c>
      <c r="O28" s="30">
        <f t="shared" si="4"/>
        <v>0</v>
      </c>
      <c r="Z28" s="30">
        <f t="shared" si="5"/>
        <v>0</v>
      </c>
      <c r="AA28" s="30">
        <f t="shared" si="6"/>
        <v>0</v>
      </c>
      <c r="AB28" s="30">
        <f t="shared" si="7"/>
        <v>0</v>
      </c>
      <c r="AD28" s="30">
        <v>20</v>
      </c>
      <c r="AE28" s="30">
        <f t="shared" si="8"/>
        <v>0</v>
      </c>
      <c r="AF28" s="30">
        <f t="shared" si="9"/>
        <v>0</v>
      </c>
    </row>
    <row r="29" spans="1:32" ht="12.75">
      <c r="A29" s="9" t="s">
        <v>20</v>
      </c>
      <c r="B29" s="9"/>
      <c r="C29" s="9" t="s">
        <v>73</v>
      </c>
      <c r="D29" s="9" t="s">
        <v>118</v>
      </c>
      <c r="E29" s="9" t="s">
        <v>167</v>
      </c>
      <c r="F29" s="30">
        <v>1</v>
      </c>
      <c r="H29" s="30">
        <f t="shared" si="0"/>
        <v>0</v>
      </c>
      <c r="I29" s="30">
        <f t="shared" si="1"/>
        <v>0</v>
      </c>
      <c r="J29" s="30">
        <f t="shared" si="2"/>
        <v>0</v>
      </c>
      <c r="K29" s="30">
        <v>0.05</v>
      </c>
      <c r="L29" s="30">
        <f t="shared" si="3"/>
        <v>0.05</v>
      </c>
      <c r="N29" s="50" t="s">
        <v>7</v>
      </c>
      <c r="O29" s="30">
        <f t="shared" si="4"/>
        <v>0</v>
      </c>
      <c r="Z29" s="30">
        <f t="shared" si="5"/>
        <v>0</v>
      </c>
      <c r="AA29" s="30">
        <f t="shared" si="6"/>
        <v>0</v>
      </c>
      <c r="AB29" s="30">
        <f t="shared" si="7"/>
        <v>0</v>
      </c>
      <c r="AD29" s="30">
        <v>20</v>
      </c>
      <c r="AE29" s="30">
        <f t="shared" si="8"/>
        <v>0</v>
      </c>
      <c r="AF29" s="30">
        <f t="shared" si="9"/>
        <v>0</v>
      </c>
    </row>
    <row r="30" spans="1:32" ht="12.75">
      <c r="A30" s="9" t="s">
        <v>21</v>
      </c>
      <c r="B30" s="9"/>
      <c r="C30" s="9" t="s">
        <v>73</v>
      </c>
      <c r="D30" s="9" t="s">
        <v>119</v>
      </c>
      <c r="E30" s="9" t="s">
        <v>167</v>
      </c>
      <c r="F30" s="30">
        <v>1</v>
      </c>
      <c r="H30" s="30">
        <f t="shared" si="0"/>
        <v>0</v>
      </c>
      <c r="I30" s="30">
        <f t="shared" si="1"/>
        <v>0</v>
      </c>
      <c r="J30" s="30">
        <f t="shared" si="2"/>
        <v>0</v>
      </c>
      <c r="K30" s="30">
        <v>0.05</v>
      </c>
      <c r="L30" s="30">
        <f t="shared" si="3"/>
        <v>0.05</v>
      </c>
      <c r="N30" s="50" t="s">
        <v>7</v>
      </c>
      <c r="O30" s="30">
        <f t="shared" si="4"/>
        <v>0</v>
      </c>
      <c r="Z30" s="30">
        <f t="shared" si="5"/>
        <v>0</v>
      </c>
      <c r="AA30" s="30">
        <f t="shared" si="6"/>
        <v>0</v>
      </c>
      <c r="AB30" s="30">
        <f t="shared" si="7"/>
        <v>0</v>
      </c>
      <c r="AD30" s="30">
        <v>20</v>
      </c>
      <c r="AE30" s="30">
        <f t="shared" si="8"/>
        <v>0</v>
      </c>
      <c r="AF30" s="30">
        <f t="shared" si="9"/>
        <v>0</v>
      </c>
    </row>
    <row r="31" spans="1:32" ht="12.75">
      <c r="A31" s="9" t="s">
        <v>22</v>
      </c>
      <c r="B31" s="9"/>
      <c r="C31" s="9" t="s">
        <v>73</v>
      </c>
      <c r="D31" s="9" t="s">
        <v>120</v>
      </c>
      <c r="E31" s="9" t="s">
        <v>167</v>
      </c>
      <c r="F31" s="30">
        <v>1</v>
      </c>
      <c r="H31" s="30">
        <f t="shared" si="0"/>
        <v>0</v>
      </c>
      <c r="I31" s="30">
        <f t="shared" si="1"/>
        <v>0</v>
      </c>
      <c r="J31" s="30">
        <f t="shared" si="2"/>
        <v>0</v>
      </c>
      <c r="K31" s="30">
        <v>0.05</v>
      </c>
      <c r="L31" s="30">
        <f t="shared" si="3"/>
        <v>0.05</v>
      </c>
      <c r="N31" s="50" t="s">
        <v>7</v>
      </c>
      <c r="O31" s="30">
        <f t="shared" si="4"/>
        <v>0</v>
      </c>
      <c r="Z31" s="30">
        <f t="shared" si="5"/>
        <v>0</v>
      </c>
      <c r="AA31" s="30">
        <f t="shared" si="6"/>
        <v>0</v>
      </c>
      <c r="AB31" s="30">
        <f t="shared" si="7"/>
        <v>0</v>
      </c>
      <c r="AD31" s="30">
        <v>20</v>
      </c>
      <c r="AE31" s="30">
        <f t="shared" si="8"/>
        <v>0</v>
      </c>
      <c r="AF31" s="30">
        <f t="shared" si="9"/>
        <v>0</v>
      </c>
    </row>
    <row r="32" spans="1:32" ht="12.75">
      <c r="A32" s="9" t="s">
        <v>23</v>
      </c>
      <c r="B32" s="9"/>
      <c r="C32" s="9" t="s">
        <v>73</v>
      </c>
      <c r="D32" s="9" t="s">
        <v>121</v>
      </c>
      <c r="E32" s="9" t="s">
        <v>167</v>
      </c>
      <c r="F32" s="30">
        <v>1</v>
      </c>
      <c r="H32" s="30">
        <f t="shared" si="0"/>
        <v>0</v>
      </c>
      <c r="I32" s="30">
        <f t="shared" si="1"/>
        <v>0</v>
      </c>
      <c r="J32" s="30">
        <f t="shared" si="2"/>
        <v>0</v>
      </c>
      <c r="K32" s="30">
        <v>0.05</v>
      </c>
      <c r="L32" s="30">
        <f t="shared" si="3"/>
        <v>0.05</v>
      </c>
      <c r="N32" s="50" t="s">
        <v>7</v>
      </c>
      <c r="O32" s="30">
        <f t="shared" si="4"/>
        <v>0</v>
      </c>
      <c r="Z32" s="30">
        <f t="shared" si="5"/>
        <v>0</v>
      </c>
      <c r="AA32" s="30">
        <f t="shared" si="6"/>
        <v>0</v>
      </c>
      <c r="AB32" s="30">
        <f t="shared" si="7"/>
        <v>0</v>
      </c>
      <c r="AD32" s="30">
        <v>20</v>
      </c>
      <c r="AE32" s="30">
        <f t="shared" si="8"/>
        <v>0</v>
      </c>
      <c r="AF32" s="30">
        <f t="shared" si="9"/>
        <v>0</v>
      </c>
    </row>
    <row r="33" spans="1:32" ht="12.75">
      <c r="A33" s="9" t="s">
        <v>24</v>
      </c>
      <c r="B33" s="9"/>
      <c r="C33" s="9" t="s">
        <v>73</v>
      </c>
      <c r="D33" s="9" t="s">
        <v>122</v>
      </c>
      <c r="E33" s="9" t="s">
        <v>167</v>
      </c>
      <c r="F33" s="30">
        <v>1</v>
      </c>
      <c r="H33" s="30">
        <f t="shared" si="0"/>
        <v>0</v>
      </c>
      <c r="I33" s="30">
        <f t="shared" si="1"/>
        <v>0</v>
      </c>
      <c r="J33" s="30">
        <f t="shared" si="2"/>
        <v>0</v>
      </c>
      <c r="K33" s="30">
        <v>0.05</v>
      </c>
      <c r="L33" s="30">
        <f t="shared" si="3"/>
        <v>0.05</v>
      </c>
      <c r="N33" s="50" t="s">
        <v>7</v>
      </c>
      <c r="O33" s="30">
        <f t="shared" si="4"/>
        <v>0</v>
      </c>
      <c r="Z33" s="30">
        <f t="shared" si="5"/>
        <v>0</v>
      </c>
      <c r="AA33" s="30">
        <f t="shared" si="6"/>
        <v>0</v>
      </c>
      <c r="AB33" s="30">
        <f t="shared" si="7"/>
        <v>0</v>
      </c>
      <c r="AD33" s="30">
        <v>20</v>
      </c>
      <c r="AE33" s="30">
        <f>G33*0.390243772691607</f>
        <v>0</v>
      </c>
      <c r="AF33" s="30">
        <f>G33*(1-0.390243772691607)</f>
        <v>0</v>
      </c>
    </row>
    <row r="34" spans="1:32" ht="12.75">
      <c r="A34" s="9" t="s">
        <v>25</v>
      </c>
      <c r="B34" s="9"/>
      <c r="C34" s="9" t="s">
        <v>73</v>
      </c>
      <c r="D34" s="9" t="s">
        <v>123</v>
      </c>
      <c r="E34" s="9" t="s">
        <v>167</v>
      </c>
      <c r="F34" s="30">
        <v>1</v>
      </c>
      <c r="H34" s="30">
        <f t="shared" si="0"/>
        <v>0</v>
      </c>
      <c r="I34" s="30">
        <f t="shared" si="1"/>
        <v>0</v>
      </c>
      <c r="J34" s="30">
        <f t="shared" si="2"/>
        <v>0</v>
      </c>
      <c r="K34" s="30">
        <v>0.05</v>
      </c>
      <c r="L34" s="30">
        <f t="shared" si="3"/>
        <v>0.05</v>
      </c>
      <c r="N34" s="50" t="s">
        <v>7</v>
      </c>
      <c r="O34" s="30">
        <f t="shared" si="4"/>
        <v>0</v>
      </c>
      <c r="Z34" s="30">
        <f t="shared" si="5"/>
        <v>0</v>
      </c>
      <c r="AA34" s="30">
        <f t="shared" si="6"/>
        <v>0</v>
      </c>
      <c r="AB34" s="30">
        <f t="shared" si="7"/>
        <v>0</v>
      </c>
      <c r="AD34" s="30">
        <v>20</v>
      </c>
      <c r="AE34" s="30">
        <f>G34*0.390243796416843</f>
        <v>0</v>
      </c>
      <c r="AF34" s="30">
        <f>G34*(1-0.390243796416843)</f>
        <v>0</v>
      </c>
    </row>
    <row r="35" spans="1:32" ht="12.75">
      <c r="A35" s="9" t="s">
        <v>26</v>
      </c>
      <c r="B35" s="9"/>
      <c r="C35" s="9" t="s">
        <v>73</v>
      </c>
      <c r="D35" s="9" t="s">
        <v>124</v>
      </c>
      <c r="E35" s="9" t="s">
        <v>167</v>
      </c>
      <c r="F35" s="30">
        <v>1</v>
      </c>
      <c r="H35" s="30">
        <f t="shared" si="0"/>
        <v>0</v>
      </c>
      <c r="I35" s="30">
        <f t="shared" si="1"/>
        <v>0</v>
      </c>
      <c r="J35" s="30">
        <f t="shared" si="2"/>
        <v>0</v>
      </c>
      <c r="K35" s="30">
        <v>0.05</v>
      </c>
      <c r="L35" s="30">
        <f t="shared" si="3"/>
        <v>0.05</v>
      </c>
      <c r="N35" s="50" t="s">
        <v>7</v>
      </c>
      <c r="O35" s="30">
        <f t="shared" si="4"/>
        <v>0</v>
      </c>
      <c r="Z35" s="30">
        <f t="shared" si="5"/>
        <v>0</v>
      </c>
      <c r="AA35" s="30">
        <f t="shared" si="6"/>
        <v>0</v>
      </c>
      <c r="AB35" s="30">
        <f t="shared" si="7"/>
        <v>0</v>
      </c>
      <c r="AD35" s="30">
        <v>20</v>
      </c>
      <c r="AE35" s="30">
        <f>G35*0.390243819977322</f>
        <v>0</v>
      </c>
      <c r="AF35" s="30">
        <f>G35*(1-0.390243819977322)</f>
        <v>0</v>
      </c>
    </row>
    <row r="36" spans="1:32" ht="12.75">
      <c r="A36" s="9" t="s">
        <v>27</v>
      </c>
      <c r="B36" s="9"/>
      <c r="C36" s="9" t="s">
        <v>73</v>
      </c>
      <c r="D36" s="9" t="s">
        <v>125</v>
      </c>
      <c r="E36" s="9" t="s">
        <v>167</v>
      </c>
      <c r="F36" s="30">
        <v>1</v>
      </c>
      <c r="H36" s="30">
        <f t="shared" si="0"/>
        <v>0</v>
      </c>
      <c r="I36" s="30">
        <f t="shared" si="1"/>
        <v>0</v>
      </c>
      <c r="J36" s="30">
        <f t="shared" si="2"/>
        <v>0</v>
      </c>
      <c r="K36" s="30">
        <v>0.05</v>
      </c>
      <c r="L36" s="30">
        <f t="shared" si="3"/>
        <v>0.05</v>
      </c>
      <c r="N36" s="50" t="s">
        <v>7</v>
      </c>
      <c r="O36" s="30">
        <f t="shared" si="4"/>
        <v>0</v>
      </c>
      <c r="Z36" s="30">
        <f t="shared" si="5"/>
        <v>0</v>
      </c>
      <c r="AA36" s="30">
        <f t="shared" si="6"/>
        <v>0</v>
      </c>
      <c r="AB36" s="30">
        <f t="shared" si="7"/>
        <v>0</v>
      </c>
      <c r="AD36" s="30">
        <v>20</v>
      </c>
      <c r="AE36" s="30">
        <f aca="true" t="shared" si="10" ref="AE36:AE42">G36*0.390243765002874</f>
        <v>0</v>
      </c>
      <c r="AF36" s="30">
        <f aca="true" t="shared" si="11" ref="AF36:AF42">G36*(1-0.390243765002874)</f>
        <v>0</v>
      </c>
    </row>
    <row r="37" spans="1:32" ht="12.75">
      <c r="A37" s="9" t="s">
        <v>28</v>
      </c>
      <c r="B37" s="9"/>
      <c r="C37" s="9" t="s">
        <v>73</v>
      </c>
      <c r="D37" s="9" t="s">
        <v>126</v>
      </c>
      <c r="E37" s="9" t="s">
        <v>167</v>
      </c>
      <c r="F37" s="30">
        <v>1</v>
      </c>
      <c r="H37" s="30">
        <f t="shared" si="0"/>
        <v>0</v>
      </c>
      <c r="I37" s="30">
        <f t="shared" si="1"/>
        <v>0</v>
      </c>
      <c r="J37" s="30">
        <f t="shared" si="2"/>
        <v>0</v>
      </c>
      <c r="K37" s="30">
        <v>0.05</v>
      </c>
      <c r="L37" s="30">
        <f t="shared" si="3"/>
        <v>0.05</v>
      </c>
      <c r="N37" s="50" t="s">
        <v>7</v>
      </c>
      <c r="O37" s="30">
        <f t="shared" si="4"/>
        <v>0</v>
      </c>
      <c r="Z37" s="30">
        <f t="shared" si="5"/>
        <v>0</v>
      </c>
      <c r="AA37" s="30">
        <f t="shared" si="6"/>
        <v>0</v>
      </c>
      <c r="AB37" s="30">
        <f t="shared" si="7"/>
        <v>0</v>
      </c>
      <c r="AD37" s="30">
        <v>20</v>
      </c>
      <c r="AE37" s="30">
        <f t="shared" si="10"/>
        <v>0</v>
      </c>
      <c r="AF37" s="30">
        <f t="shared" si="11"/>
        <v>0</v>
      </c>
    </row>
    <row r="38" spans="1:32" ht="12.75">
      <c r="A38" s="9" t="s">
        <v>29</v>
      </c>
      <c r="B38" s="9"/>
      <c r="C38" s="9" t="s">
        <v>73</v>
      </c>
      <c r="D38" s="9" t="s">
        <v>127</v>
      </c>
      <c r="E38" s="9" t="s">
        <v>167</v>
      </c>
      <c r="F38" s="30">
        <v>1</v>
      </c>
      <c r="H38" s="30">
        <f t="shared" si="0"/>
        <v>0</v>
      </c>
      <c r="I38" s="30">
        <f t="shared" si="1"/>
        <v>0</v>
      </c>
      <c r="J38" s="30">
        <f t="shared" si="2"/>
        <v>0</v>
      </c>
      <c r="K38" s="30">
        <v>0.05</v>
      </c>
      <c r="L38" s="30">
        <f t="shared" si="3"/>
        <v>0.05</v>
      </c>
      <c r="N38" s="50" t="s">
        <v>7</v>
      </c>
      <c r="O38" s="30">
        <f t="shared" si="4"/>
        <v>0</v>
      </c>
      <c r="Z38" s="30">
        <f t="shared" si="5"/>
        <v>0</v>
      </c>
      <c r="AA38" s="30">
        <f t="shared" si="6"/>
        <v>0</v>
      </c>
      <c r="AB38" s="30">
        <f t="shared" si="7"/>
        <v>0</v>
      </c>
      <c r="AD38" s="30">
        <v>20</v>
      </c>
      <c r="AE38" s="30">
        <f t="shared" si="10"/>
        <v>0</v>
      </c>
      <c r="AF38" s="30">
        <f t="shared" si="11"/>
        <v>0</v>
      </c>
    </row>
    <row r="39" spans="1:32" ht="12.75">
      <c r="A39" s="9" t="s">
        <v>30</v>
      </c>
      <c r="B39" s="9"/>
      <c r="C39" s="9" t="s">
        <v>73</v>
      </c>
      <c r="D39" s="9" t="s">
        <v>128</v>
      </c>
      <c r="E39" s="9" t="s">
        <v>167</v>
      </c>
      <c r="F39" s="30">
        <v>1</v>
      </c>
      <c r="H39" s="30">
        <f t="shared" si="0"/>
        <v>0</v>
      </c>
      <c r="I39" s="30">
        <f t="shared" si="1"/>
        <v>0</v>
      </c>
      <c r="J39" s="30">
        <f t="shared" si="2"/>
        <v>0</v>
      </c>
      <c r="K39" s="30">
        <v>0.05</v>
      </c>
      <c r="L39" s="30">
        <f t="shared" si="3"/>
        <v>0.05</v>
      </c>
      <c r="N39" s="50" t="s">
        <v>7</v>
      </c>
      <c r="O39" s="30">
        <f t="shared" si="4"/>
        <v>0</v>
      </c>
      <c r="Z39" s="30">
        <f t="shared" si="5"/>
        <v>0</v>
      </c>
      <c r="AA39" s="30">
        <f t="shared" si="6"/>
        <v>0</v>
      </c>
      <c r="AB39" s="30">
        <f t="shared" si="7"/>
        <v>0</v>
      </c>
      <c r="AD39" s="30">
        <v>20</v>
      </c>
      <c r="AE39" s="30">
        <f t="shared" si="10"/>
        <v>0</v>
      </c>
      <c r="AF39" s="30">
        <f t="shared" si="11"/>
        <v>0</v>
      </c>
    </row>
    <row r="40" spans="1:32" ht="12.75">
      <c r="A40" s="9" t="s">
        <v>31</v>
      </c>
      <c r="B40" s="9"/>
      <c r="C40" s="9" t="s">
        <v>73</v>
      </c>
      <c r="D40" s="9" t="s">
        <v>129</v>
      </c>
      <c r="E40" s="9" t="s">
        <v>167</v>
      </c>
      <c r="F40" s="30">
        <v>1</v>
      </c>
      <c r="H40" s="30">
        <f t="shared" si="0"/>
        <v>0</v>
      </c>
      <c r="I40" s="30">
        <f t="shared" si="1"/>
        <v>0</v>
      </c>
      <c r="J40" s="30">
        <f t="shared" si="2"/>
        <v>0</v>
      </c>
      <c r="K40" s="30">
        <v>0.05</v>
      </c>
      <c r="L40" s="30">
        <f t="shared" si="3"/>
        <v>0.05</v>
      </c>
      <c r="N40" s="50" t="s">
        <v>7</v>
      </c>
      <c r="O40" s="30">
        <f t="shared" si="4"/>
        <v>0</v>
      </c>
      <c r="Z40" s="30">
        <f t="shared" si="5"/>
        <v>0</v>
      </c>
      <c r="AA40" s="30">
        <f t="shared" si="6"/>
        <v>0</v>
      </c>
      <c r="AB40" s="30">
        <f t="shared" si="7"/>
        <v>0</v>
      </c>
      <c r="AD40" s="30">
        <v>20</v>
      </c>
      <c r="AE40" s="30">
        <f t="shared" si="10"/>
        <v>0</v>
      </c>
      <c r="AF40" s="30">
        <f t="shared" si="11"/>
        <v>0</v>
      </c>
    </row>
    <row r="41" spans="1:32" ht="12.75">
      <c r="A41" s="9" t="s">
        <v>32</v>
      </c>
      <c r="B41" s="9"/>
      <c r="C41" s="9" t="s">
        <v>73</v>
      </c>
      <c r="D41" s="9" t="s">
        <v>130</v>
      </c>
      <c r="E41" s="9" t="s">
        <v>167</v>
      </c>
      <c r="F41" s="30">
        <v>1</v>
      </c>
      <c r="H41" s="30">
        <f t="shared" si="0"/>
        <v>0</v>
      </c>
      <c r="I41" s="30">
        <f t="shared" si="1"/>
        <v>0</v>
      </c>
      <c r="J41" s="30">
        <f t="shared" si="2"/>
        <v>0</v>
      </c>
      <c r="K41" s="30">
        <v>0.05</v>
      </c>
      <c r="L41" s="30">
        <f t="shared" si="3"/>
        <v>0.05</v>
      </c>
      <c r="N41" s="50" t="s">
        <v>7</v>
      </c>
      <c r="O41" s="30">
        <f t="shared" si="4"/>
        <v>0</v>
      </c>
      <c r="Z41" s="30">
        <f t="shared" si="5"/>
        <v>0</v>
      </c>
      <c r="AA41" s="30">
        <f t="shared" si="6"/>
        <v>0</v>
      </c>
      <c r="AB41" s="30">
        <f t="shared" si="7"/>
        <v>0</v>
      </c>
      <c r="AD41" s="30">
        <v>20</v>
      </c>
      <c r="AE41" s="30">
        <f t="shared" si="10"/>
        <v>0</v>
      </c>
      <c r="AF41" s="30">
        <f t="shared" si="11"/>
        <v>0</v>
      </c>
    </row>
    <row r="42" spans="1:32" ht="12.75">
      <c r="A42" s="9" t="s">
        <v>33</v>
      </c>
      <c r="B42" s="9"/>
      <c r="C42" s="9" t="s">
        <v>73</v>
      </c>
      <c r="D42" s="9" t="s">
        <v>131</v>
      </c>
      <c r="E42" s="9" t="s">
        <v>167</v>
      </c>
      <c r="F42" s="30">
        <v>1</v>
      </c>
      <c r="H42" s="30">
        <f t="shared" si="0"/>
        <v>0</v>
      </c>
      <c r="I42" s="30">
        <f t="shared" si="1"/>
        <v>0</v>
      </c>
      <c r="J42" s="30">
        <f t="shared" si="2"/>
        <v>0</v>
      </c>
      <c r="K42" s="30">
        <v>0.05</v>
      </c>
      <c r="L42" s="30">
        <f t="shared" si="3"/>
        <v>0.05</v>
      </c>
      <c r="N42" s="50" t="s">
        <v>7</v>
      </c>
      <c r="O42" s="30">
        <f t="shared" si="4"/>
        <v>0</v>
      </c>
      <c r="Z42" s="30">
        <f t="shared" si="5"/>
        <v>0</v>
      </c>
      <c r="AA42" s="30">
        <f t="shared" si="6"/>
        <v>0</v>
      </c>
      <c r="AB42" s="30">
        <f t="shared" si="7"/>
        <v>0</v>
      </c>
      <c r="AD42" s="30">
        <v>20</v>
      </c>
      <c r="AE42" s="30">
        <f t="shared" si="10"/>
        <v>0</v>
      </c>
      <c r="AF42" s="30">
        <f t="shared" si="11"/>
        <v>0</v>
      </c>
    </row>
    <row r="43" spans="1:32" ht="12.75">
      <c r="A43" s="9" t="s">
        <v>34</v>
      </c>
      <c r="B43" s="9"/>
      <c r="C43" s="9" t="s">
        <v>73</v>
      </c>
      <c r="D43" s="9" t="s">
        <v>132</v>
      </c>
      <c r="E43" s="9" t="s">
        <v>167</v>
      </c>
      <c r="F43" s="30">
        <v>1</v>
      </c>
      <c r="H43" s="30">
        <f t="shared" si="0"/>
        <v>0</v>
      </c>
      <c r="I43" s="30">
        <f t="shared" si="1"/>
        <v>0</v>
      </c>
      <c r="J43" s="30">
        <f t="shared" si="2"/>
        <v>0</v>
      </c>
      <c r="K43" s="30">
        <v>0.05</v>
      </c>
      <c r="L43" s="30">
        <f t="shared" si="3"/>
        <v>0.05</v>
      </c>
      <c r="N43" s="50" t="s">
        <v>7</v>
      </c>
      <c r="O43" s="30">
        <f t="shared" si="4"/>
        <v>0</v>
      </c>
      <c r="Z43" s="30">
        <f t="shared" si="5"/>
        <v>0</v>
      </c>
      <c r="AA43" s="30">
        <f t="shared" si="6"/>
        <v>0</v>
      </c>
      <c r="AB43" s="30">
        <f t="shared" si="7"/>
        <v>0</v>
      </c>
      <c r="AD43" s="30">
        <v>20</v>
      </c>
      <c r="AE43" s="30">
        <f>G43*0.390243902439024</f>
        <v>0</v>
      </c>
      <c r="AF43" s="30">
        <f>G43*(1-0.390243902439024)</f>
        <v>0</v>
      </c>
    </row>
    <row r="44" spans="1:32" ht="12.75">
      <c r="A44" s="9" t="s">
        <v>35</v>
      </c>
      <c r="B44" s="9"/>
      <c r="C44" s="9" t="s">
        <v>74</v>
      </c>
      <c r="D44" s="9" t="s">
        <v>133</v>
      </c>
      <c r="E44" s="9" t="s">
        <v>164</v>
      </c>
      <c r="F44" s="30">
        <v>4.32</v>
      </c>
      <c r="H44" s="30">
        <f t="shared" si="0"/>
        <v>0</v>
      </c>
      <c r="I44" s="30">
        <f t="shared" si="1"/>
        <v>0</v>
      </c>
      <c r="J44" s="30">
        <f t="shared" si="2"/>
        <v>0</v>
      </c>
      <c r="K44" s="30">
        <v>0</v>
      </c>
      <c r="L44" s="30">
        <f t="shared" si="3"/>
        <v>0</v>
      </c>
      <c r="N44" s="50" t="s">
        <v>11</v>
      </c>
      <c r="O44" s="30">
        <f t="shared" si="4"/>
        <v>0</v>
      </c>
      <c r="Z44" s="30">
        <f t="shared" si="5"/>
        <v>0</v>
      </c>
      <c r="AA44" s="30">
        <f t="shared" si="6"/>
        <v>0</v>
      </c>
      <c r="AB44" s="30">
        <f t="shared" si="7"/>
        <v>0</v>
      </c>
      <c r="AD44" s="30">
        <v>20</v>
      </c>
      <c r="AE44" s="30">
        <f>G44*0</f>
        <v>0</v>
      </c>
      <c r="AF44" s="30">
        <f>G44*(1-0)</f>
        <v>0</v>
      </c>
    </row>
    <row r="45" spans="1:37" ht="12.75">
      <c r="A45" s="10"/>
      <c r="B45" s="10"/>
      <c r="C45" s="20" t="s">
        <v>75</v>
      </c>
      <c r="D45" s="25" t="s">
        <v>134</v>
      </c>
      <c r="E45" s="28"/>
      <c r="F45" s="28"/>
      <c r="G45" s="28"/>
      <c r="H45" s="52">
        <f>SUM(H46:H47)</f>
        <v>0</v>
      </c>
      <c r="I45" s="52">
        <f>SUM(I46:I47)</f>
        <v>0</v>
      </c>
      <c r="J45" s="52">
        <f>H45+I45</f>
        <v>0</v>
      </c>
      <c r="K45" s="44"/>
      <c r="L45" s="52">
        <f>SUM(L46:L47)</f>
        <v>0.42500000000000004</v>
      </c>
      <c r="P45" s="52">
        <f>IF(Q45="PR",J45,SUM(O46:O47))</f>
        <v>0</v>
      </c>
      <c r="Q45" s="44" t="s">
        <v>187</v>
      </c>
      <c r="R45" s="52">
        <f>IF(Q45="HS",H45,0)</f>
        <v>0</v>
      </c>
      <c r="S45" s="52">
        <f>IF(Q45="HS",I45-P45,0)</f>
        <v>0</v>
      </c>
      <c r="T45" s="52">
        <f>IF(Q45="PS",H45,0)</f>
        <v>0</v>
      </c>
      <c r="U45" s="52">
        <f>IF(Q45="PS",I45-P45,0)</f>
        <v>0</v>
      </c>
      <c r="V45" s="52">
        <f>IF(Q45="MP",H45,0)</f>
        <v>0</v>
      </c>
      <c r="W45" s="52">
        <f>IF(Q45="MP",I45-P45,0)</f>
        <v>0</v>
      </c>
      <c r="X45" s="52">
        <f>IF(Q45="OM",H45,0)</f>
        <v>0</v>
      </c>
      <c r="Y45" s="44"/>
      <c r="AI45" s="52">
        <f>SUM(Z46:Z47)</f>
        <v>0</v>
      </c>
      <c r="AJ45" s="52">
        <f>SUM(AA46:AA47)</f>
        <v>0</v>
      </c>
      <c r="AK45" s="52">
        <f>SUM(AB46:AB47)</f>
        <v>0</v>
      </c>
    </row>
    <row r="46" spans="1:32" ht="12.75">
      <c r="A46" s="9" t="s">
        <v>36</v>
      </c>
      <c r="B46" s="9"/>
      <c r="C46" s="9" t="s">
        <v>76</v>
      </c>
      <c r="D46" s="9" t="s">
        <v>135</v>
      </c>
      <c r="E46" s="9" t="s">
        <v>167</v>
      </c>
      <c r="F46" s="30">
        <v>17</v>
      </c>
      <c r="H46" s="30">
        <f>ROUND(F46*AE46,2)</f>
        <v>0</v>
      </c>
      <c r="I46" s="30">
        <f>J46-H46</f>
        <v>0</v>
      </c>
      <c r="J46" s="30">
        <f>ROUND(F46*G46,2)</f>
        <v>0</v>
      </c>
      <c r="K46" s="30">
        <v>0.025</v>
      </c>
      <c r="L46" s="30">
        <f>F46*K46</f>
        <v>0.42500000000000004</v>
      </c>
      <c r="N46" s="50" t="s">
        <v>7</v>
      </c>
      <c r="O46" s="30">
        <f>IF(N46="5",I46,0)</f>
        <v>0</v>
      </c>
      <c r="Z46" s="30">
        <f>IF(AD46=0,J46,0)</f>
        <v>0</v>
      </c>
      <c r="AA46" s="30">
        <f>IF(AD46=10,J46,0)</f>
        <v>0</v>
      </c>
      <c r="AB46" s="30">
        <f>IF(AD46=20,J46,0)</f>
        <v>0</v>
      </c>
      <c r="AD46" s="30">
        <v>20</v>
      </c>
      <c r="AE46" s="30">
        <f>G46*0.258510638297872</f>
        <v>0</v>
      </c>
      <c r="AF46" s="30">
        <f>G46*(1-0.258510638297872)</f>
        <v>0</v>
      </c>
    </row>
    <row r="47" spans="1:32" ht="12.75">
      <c r="A47" s="9" t="s">
        <v>37</v>
      </c>
      <c r="B47" s="9"/>
      <c r="C47" s="9" t="s">
        <v>77</v>
      </c>
      <c r="D47" s="9" t="s">
        <v>136</v>
      </c>
      <c r="E47" s="9" t="s">
        <v>164</v>
      </c>
      <c r="F47" s="30">
        <v>0.425</v>
      </c>
      <c r="H47" s="30">
        <f>ROUND(F47*AE47,2)</f>
        <v>0</v>
      </c>
      <c r="I47" s="30">
        <f>J47-H47</f>
        <v>0</v>
      </c>
      <c r="J47" s="30">
        <f>ROUND(F47*G47,2)</f>
        <v>0</v>
      </c>
      <c r="K47" s="30">
        <v>0</v>
      </c>
      <c r="L47" s="30">
        <f>F47*K47</f>
        <v>0</v>
      </c>
      <c r="N47" s="50" t="s">
        <v>11</v>
      </c>
      <c r="O47" s="30">
        <f>IF(N47="5",I47,0)</f>
        <v>0</v>
      </c>
      <c r="Z47" s="30">
        <f>IF(AD47=0,J47,0)</f>
        <v>0</v>
      </c>
      <c r="AA47" s="30">
        <f>IF(AD47=10,J47,0)</f>
        <v>0</v>
      </c>
      <c r="AB47" s="30">
        <f>IF(AD47=20,J47,0)</f>
        <v>0</v>
      </c>
      <c r="AD47" s="30">
        <v>20</v>
      </c>
      <c r="AE47" s="30">
        <f>G47*0</f>
        <v>0</v>
      </c>
      <c r="AF47" s="30">
        <f>G47*(1-0)</f>
        <v>0</v>
      </c>
    </row>
    <row r="48" spans="1:37" ht="12.75">
      <c r="A48" s="10"/>
      <c r="B48" s="10"/>
      <c r="C48" s="20" t="s">
        <v>78</v>
      </c>
      <c r="D48" s="25" t="s">
        <v>137</v>
      </c>
      <c r="E48" s="28"/>
      <c r="F48" s="28"/>
      <c r="G48" s="28"/>
      <c r="H48" s="52">
        <f>SUM(H49:H51)</f>
        <v>0</v>
      </c>
      <c r="I48" s="52">
        <f>SUM(I49:I51)</f>
        <v>0</v>
      </c>
      <c r="J48" s="52">
        <f>H48+I48</f>
        <v>0</v>
      </c>
      <c r="K48" s="44"/>
      <c r="L48" s="52">
        <f>SUM(L49:L51)</f>
        <v>0.18368</v>
      </c>
      <c r="P48" s="52">
        <f>IF(Q48="PR",J48,SUM(O49:O51))</f>
        <v>0</v>
      </c>
      <c r="Q48" s="44" t="s">
        <v>187</v>
      </c>
      <c r="R48" s="52">
        <f>IF(Q48="HS",H48,0)</f>
        <v>0</v>
      </c>
      <c r="S48" s="52">
        <f>IF(Q48="HS",I48-P48,0)</f>
        <v>0</v>
      </c>
      <c r="T48" s="52">
        <f>IF(Q48="PS",H48,0)</f>
        <v>0</v>
      </c>
      <c r="U48" s="52">
        <f>IF(Q48="PS",I48-P48,0)</f>
        <v>0</v>
      </c>
      <c r="V48" s="52">
        <f>IF(Q48="MP",H48,0)</f>
        <v>0</v>
      </c>
      <c r="W48" s="52">
        <f>IF(Q48="MP",I48-P48,0)</f>
        <v>0</v>
      </c>
      <c r="X48" s="52">
        <f>IF(Q48="OM",H48,0)</f>
        <v>0</v>
      </c>
      <c r="Y48" s="44"/>
      <c r="AI48" s="52">
        <f>SUM(Z49:Z51)</f>
        <v>0</v>
      </c>
      <c r="AJ48" s="52">
        <f>SUM(AA49:AA51)</f>
        <v>0</v>
      </c>
      <c r="AK48" s="52">
        <f>SUM(AB49:AB51)</f>
        <v>0</v>
      </c>
    </row>
    <row r="49" spans="1:32" ht="12.75">
      <c r="A49" s="9" t="s">
        <v>38</v>
      </c>
      <c r="B49" s="9"/>
      <c r="C49" s="9" t="s">
        <v>79</v>
      </c>
      <c r="D49" s="9" t="s">
        <v>138</v>
      </c>
      <c r="E49" s="9" t="s">
        <v>163</v>
      </c>
      <c r="F49" s="30">
        <v>287</v>
      </c>
      <c r="H49" s="30">
        <f>ROUND(F49*AE49,2)</f>
        <v>0</v>
      </c>
      <c r="I49" s="30">
        <f>J49-H49</f>
        <v>0</v>
      </c>
      <c r="J49" s="30">
        <f>ROUND(F49*G49,2)</f>
        <v>0</v>
      </c>
      <c r="K49" s="30">
        <v>0.00034</v>
      </c>
      <c r="L49" s="30">
        <f>F49*K49</f>
        <v>0.09758</v>
      </c>
      <c r="N49" s="50" t="s">
        <v>7</v>
      </c>
      <c r="O49" s="30">
        <f>IF(N49="5",I49,0)</f>
        <v>0</v>
      </c>
      <c r="Z49" s="30">
        <f>IF(AD49=0,J49,0)</f>
        <v>0</v>
      </c>
      <c r="AA49" s="30">
        <f>IF(AD49=10,J49,0)</f>
        <v>0</v>
      </c>
      <c r="AB49" s="30">
        <f>IF(AD49=20,J49,0)</f>
        <v>0</v>
      </c>
      <c r="AD49" s="30">
        <v>20</v>
      </c>
      <c r="AE49" s="30">
        <f>G49*0.254925022052338</f>
        <v>0</v>
      </c>
      <c r="AF49" s="30">
        <f>G49*(1-0.254925022052338)</f>
        <v>0</v>
      </c>
    </row>
    <row r="50" spans="1:32" ht="12.75">
      <c r="A50" s="9" t="s">
        <v>39</v>
      </c>
      <c r="B50" s="9"/>
      <c r="C50" s="9" t="s">
        <v>80</v>
      </c>
      <c r="D50" s="9" t="s">
        <v>139</v>
      </c>
      <c r="E50" s="9" t="s">
        <v>163</v>
      </c>
      <c r="F50" s="30">
        <v>287</v>
      </c>
      <c r="H50" s="30">
        <f>ROUND(F50*AE50,2)</f>
        <v>0</v>
      </c>
      <c r="I50" s="30">
        <f>J50-H50</f>
        <v>0</v>
      </c>
      <c r="J50" s="30">
        <f>ROUND(F50*G50,2)</f>
        <v>0</v>
      </c>
      <c r="K50" s="30">
        <v>0.0003</v>
      </c>
      <c r="L50" s="30">
        <f>F50*K50</f>
        <v>0.0861</v>
      </c>
      <c r="N50" s="50" t="s">
        <v>7</v>
      </c>
      <c r="O50" s="30">
        <f>IF(N50="5",I50,0)</f>
        <v>0</v>
      </c>
      <c r="Z50" s="30">
        <f>IF(AD50=0,J50,0)</f>
        <v>0</v>
      </c>
      <c r="AA50" s="30">
        <f>IF(AD50=10,J50,0)</f>
        <v>0</v>
      </c>
      <c r="AB50" s="30">
        <f>IF(AD50=20,J50,0)</f>
        <v>0</v>
      </c>
      <c r="AD50" s="30">
        <v>20</v>
      </c>
      <c r="AE50" s="30">
        <f>G50*0.257224681072637</f>
        <v>0</v>
      </c>
      <c r="AF50" s="30">
        <f>G50*(1-0.257224681072637)</f>
        <v>0</v>
      </c>
    </row>
    <row r="51" spans="1:32" ht="12.75">
      <c r="A51" s="9" t="s">
        <v>40</v>
      </c>
      <c r="B51" s="9"/>
      <c r="C51" s="9" t="s">
        <v>61</v>
      </c>
      <c r="D51" s="9" t="s">
        <v>104</v>
      </c>
      <c r="E51" s="9" t="s">
        <v>164</v>
      </c>
      <c r="F51" s="30">
        <v>0.18368</v>
      </c>
      <c r="H51" s="30">
        <f>ROUND(F51*AE51,2)</f>
        <v>0</v>
      </c>
      <c r="I51" s="30">
        <f>J51-H51</f>
        <v>0</v>
      </c>
      <c r="J51" s="30">
        <f>ROUND(F51*G51,2)</f>
        <v>0</v>
      </c>
      <c r="K51" s="30">
        <v>0</v>
      </c>
      <c r="L51" s="30">
        <f>F51*K51</f>
        <v>0</v>
      </c>
      <c r="N51" s="50" t="s">
        <v>11</v>
      </c>
      <c r="O51" s="30">
        <f>IF(N51="5",I51,0)</f>
        <v>0</v>
      </c>
      <c r="Z51" s="30">
        <f>IF(AD51=0,J51,0)</f>
        <v>0</v>
      </c>
      <c r="AA51" s="30">
        <f>IF(AD51=10,J51,0)</f>
        <v>0</v>
      </c>
      <c r="AB51" s="30">
        <f>IF(AD51=20,J51,0)</f>
        <v>0</v>
      </c>
      <c r="AD51" s="30">
        <v>20</v>
      </c>
      <c r="AE51" s="30">
        <f>G51*0</f>
        <v>0</v>
      </c>
      <c r="AF51" s="30">
        <f>G51*(1-0)</f>
        <v>0</v>
      </c>
    </row>
    <row r="52" spans="1:37" ht="12.75">
      <c r="A52" s="10"/>
      <c r="B52" s="10"/>
      <c r="C52" s="20" t="s">
        <v>81</v>
      </c>
      <c r="D52" s="25" t="s">
        <v>140</v>
      </c>
      <c r="E52" s="28"/>
      <c r="F52" s="28"/>
      <c r="G52" s="28"/>
      <c r="H52" s="52">
        <f>SUM(H53:H55)</f>
        <v>0</v>
      </c>
      <c r="I52" s="52">
        <f>SUM(I53:I55)</f>
        <v>0</v>
      </c>
      <c r="J52" s="52">
        <f>H52+I52</f>
        <v>0</v>
      </c>
      <c r="K52" s="44"/>
      <c r="L52" s="52">
        <f>SUM(L53:L55)</f>
        <v>10.567106599999999</v>
      </c>
      <c r="P52" s="52">
        <f>IF(Q52="PR",J52,SUM(O53:O55))</f>
        <v>0</v>
      </c>
      <c r="Q52" s="44" t="s">
        <v>186</v>
      </c>
      <c r="R52" s="52">
        <f>IF(Q52="HS",H52,0)</f>
        <v>0</v>
      </c>
      <c r="S52" s="52">
        <f>IF(Q52="HS",I52-P52,0)</f>
        <v>0</v>
      </c>
      <c r="T52" s="52">
        <f>IF(Q52="PS",H52,0)</f>
        <v>0</v>
      </c>
      <c r="U52" s="52">
        <f>IF(Q52="PS",I52-P52,0)</f>
        <v>0</v>
      </c>
      <c r="V52" s="52">
        <f>IF(Q52="MP",H52,0)</f>
        <v>0</v>
      </c>
      <c r="W52" s="52">
        <f>IF(Q52="MP",I52-P52,0)</f>
        <v>0</v>
      </c>
      <c r="X52" s="52">
        <f>IF(Q52="OM",H52,0)</f>
        <v>0</v>
      </c>
      <c r="Y52" s="44"/>
      <c r="AI52" s="52">
        <f>SUM(Z53:Z55)</f>
        <v>0</v>
      </c>
      <c r="AJ52" s="52">
        <f>SUM(AA53:AA55)</f>
        <v>0</v>
      </c>
      <c r="AK52" s="52">
        <f>SUM(AB53:AB55)</f>
        <v>0</v>
      </c>
    </row>
    <row r="53" spans="1:32" ht="12.75">
      <c r="A53" s="9" t="s">
        <v>41</v>
      </c>
      <c r="B53" s="9"/>
      <c r="C53" s="9" t="s">
        <v>82</v>
      </c>
      <c r="D53" s="9" t="s">
        <v>141</v>
      </c>
      <c r="E53" s="9" t="s">
        <v>163</v>
      </c>
      <c r="F53" s="30">
        <v>316.57</v>
      </c>
      <c r="H53" s="30">
        <f>ROUND(F53*AE53,2)</f>
        <v>0</v>
      </c>
      <c r="I53" s="30">
        <f>J53-H53</f>
        <v>0</v>
      </c>
      <c r="J53" s="30">
        <f>ROUND(F53*G53,2)</f>
        <v>0</v>
      </c>
      <c r="K53" s="30">
        <v>0.03338</v>
      </c>
      <c r="L53" s="30">
        <f>F53*K53</f>
        <v>10.567106599999999</v>
      </c>
      <c r="N53" s="50" t="s">
        <v>7</v>
      </c>
      <c r="O53" s="30">
        <f>IF(N53="5",I53,0)</f>
        <v>0</v>
      </c>
      <c r="Z53" s="30">
        <f>IF(AD53=0,J53,0)</f>
        <v>0</v>
      </c>
      <c r="AA53" s="30">
        <f>IF(AD53=10,J53,0)</f>
        <v>0</v>
      </c>
      <c r="AB53" s="30">
        <f>IF(AD53=20,J53,0)</f>
        <v>0</v>
      </c>
      <c r="AD53" s="30">
        <v>20</v>
      </c>
      <c r="AE53" s="30">
        <f>G53*0.000618556701030928</f>
        <v>0</v>
      </c>
      <c r="AF53" s="30">
        <f>G53*(1-0.000618556701030928)</f>
        <v>0</v>
      </c>
    </row>
    <row r="54" spans="1:32" ht="12.75">
      <c r="A54" s="9" t="s">
        <v>42</v>
      </c>
      <c r="B54" s="9"/>
      <c r="C54" s="9" t="s">
        <v>83</v>
      </c>
      <c r="D54" s="9" t="s">
        <v>142</v>
      </c>
      <c r="E54" s="9" t="s">
        <v>163</v>
      </c>
      <c r="F54" s="30">
        <v>316.57</v>
      </c>
      <c r="H54" s="30">
        <f>ROUND(F54*AE54,2)</f>
        <v>0</v>
      </c>
      <c r="I54" s="30">
        <f>J54-H54</f>
        <v>0</v>
      </c>
      <c r="J54" s="30">
        <f>ROUND(F54*G54,2)</f>
        <v>0</v>
      </c>
      <c r="K54" s="30">
        <v>0</v>
      </c>
      <c r="L54" s="30">
        <f>F54*K54</f>
        <v>0</v>
      </c>
      <c r="N54" s="50" t="s">
        <v>7</v>
      </c>
      <c r="O54" s="30">
        <f>IF(N54="5",I54,0)</f>
        <v>0</v>
      </c>
      <c r="Z54" s="30">
        <f>IF(AD54=0,J54,0)</f>
        <v>0</v>
      </c>
      <c r="AA54" s="30">
        <f>IF(AD54=10,J54,0)</f>
        <v>0</v>
      </c>
      <c r="AB54" s="30">
        <f>IF(AD54=20,J54,0)</f>
        <v>0</v>
      </c>
      <c r="AD54" s="30">
        <v>20</v>
      </c>
      <c r="AE54" s="30">
        <f>G54*0</f>
        <v>0</v>
      </c>
      <c r="AF54" s="30">
        <f>G54*(1-0)</f>
        <v>0</v>
      </c>
    </row>
    <row r="55" spans="1:32" ht="12.75">
      <c r="A55" s="9" t="s">
        <v>43</v>
      </c>
      <c r="B55" s="9"/>
      <c r="C55" s="9" t="s">
        <v>84</v>
      </c>
      <c r="D55" s="9" t="s">
        <v>143</v>
      </c>
      <c r="E55" s="9" t="s">
        <v>163</v>
      </c>
      <c r="F55" s="30">
        <v>316.57</v>
      </c>
      <c r="H55" s="30">
        <f>ROUND(F55*AE55,2)</f>
        <v>0</v>
      </c>
      <c r="I55" s="30">
        <f>J55-H55</f>
        <v>0</v>
      </c>
      <c r="J55" s="30">
        <f>ROUND(F55*G55,2)</f>
        <v>0</v>
      </c>
      <c r="K55" s="30">
        <v>0</v>
      </c>
      <c r="L55" s="30">
        <f>F55*K55</f>
        <v>0</v>
      </c>
      <c r="N55" s="50" t="s">
        <v>7</v>
      </c>
      <c r="O55" s="30">
        <f>IF(N55="5",I55,0)</f>
        <v>0</v>
      </c>
      <c r="Z55" s="30">
        <f>IF(AD55=0,J55,0)</f>
        <v>0</v>
      </c>
      <c r="AA55" s="30">
        <f>IF(AD55=10,J55,0)</f>
        <v>0</v>
      </c>
      <c r="AB55" s="30">
        <f>IF(AD55=20,J55,0)</f>
        <v>0</v>
      </c>
      <c r="AD55" s="30">
        <v>20</v>
      </c>
      <c r="AE55" s="30">
        <f>G55*0</f>
        <v>0</v>
      </c>
      <c r="AF55" s="30">
        <f>G55*(1-0)</f>
        <v>0</v>
      </c>
    </row>
    <row r="56" spans="1:37" ht="12.75">
      <c r="A56" s="10"/>
      <c r="B56" s="10"/>
      <c r="C56" s="20" t="s">
        <v>85</v>
      </c>
      <c r="D56" s="25" t="s">
        <v>144</v>
      </c>
      <c r="E56" s="28"/>
      <c r="F56" s="28"/>
      <c r="G56" s="28"/>
      <c r="H56" s="52">
        <f>SUM(H57:H62)</f>
        <v>0</v>
      </c>
      <c r="I56" s="52">
        <f>SUM(I57:I62)</f>
        <v>0</v>
      </c>
      <c r="J56" s="52">
        <f>H56+I56</f>
        <v>0</v>
      </c>
      <c r="K56" s="44"/>
      <c r="L56" s="52">
        <f>SUM(L57:L62)</f>
        <v>15.172100000000002</v>
      </c>
      <c r="P56" s="52">
        <f>IF(Q56="PR",J56,SUM(O57:O62))</f>
        <v>0</v>
      </c>
      <c r="Q56" s="44" t="s">
        <v>186</v>
      </c>
      <c r="R56" s="52">
        <f>IF(Q56="HS",H56,0)</f>
        <v>0</v>
      </c>
      <c r="S56" s="52">
        <f>IF(Q56="HS",I56-P56,0)</f>
        <v>0</v>
      </c>
      <c r="T56" s="52">
        <f>IF(Q56="PS",H56,0)</f>
        <v>0</v>
      </c>
      <c r="U56" s="52">
        <f>IF(Q56="PS",I56-P56,0)</f>
        <v>0</v>
      </c>
      <c r="V56" s="52">
        <f>IF(Q56="MP",H56,0)</f>
        <v>0</v>
      </c>
      <c r="W56" s="52">
        <f>IF(Q56="MP",I56-P56,0)</f>
        <v>0</v>
      </c>
      <c r="X56" s="52">
        <f>IF(Q56="OM",H56,0)</f>
        <v>0</v>
      </c>
      <c r="Y56" s="44"/>
      <c r="AI56" s="52">
        <f>SUM(Z57:Z62)</f>
        <v>0</v>
      </c>
      <c r="AJ56" s="52">
        <f>SUM(AA57:AA62)</f>
        <v>0</v>
      </c>
      <c r="AK56" s="52">
        <f>SUM(AB57:AB62)</f>
        <v>0</v>
      </c>
    </row>
    <row r="57" spans="1:32" ht="12.75">
      <c r="A57" s="9" t="s">
        <v>44</v>
      </c>
      <c r="B57" s="9"/>
      <c r="C57" s="9" t="s">
        <v>86</v>
      </c>
      <c r="D57" s="9" t="s">
        <v>145</v>
      </c>
      <c r="E57" s="9" t="s">
        <v>163</v>
      </c>
      <c r="F57" s="30">
        <v>118.7</v>
      </c>
      <c r="H57" s="30">
        <f aca="true" t="shared" si="12" ref="H57:H62">ROUND(F57*AE57,2)</f>
        <v>0</v>
      </c>
      <c r="I57" s="30">
        <f aca="true" t="shared" si="13" ref="I57:I62">J57-H57</f>
        <v>0</v>
      </c>
      <c r="J57" s="30">
        <f aca="true" t="shared" si="14" ref="J57:J62">ROUND(F57*G57,2)</f>
        <v>0</v>
      </c>
      <c r="K57" s="30">
        <v>0.055</v>
      </c>
      <c r="L57" s="30">
        <f aca="true" t="shared" si="15" ref="L57:L62">F57*K57</f>
        <v>6.5285</v>
      </c>
      <c r="N57" s="50" t="s">
        <v>7</v>
      </c>
      <c r="O57" s="30">
        <f aca="true" t="shared" si="16" ref="O57:O62">IF(N57="5",I57,0)</f>
        <v>0</v>
      </c>
      <c r="Z57" s="30">
        <f aca="true" t="shared" si="17" ref="Z57:Z62">IF(AD57=0,J57,0)</f>
        <v>0</v>
      </c>
      <c r="AA57" s="30">
        <f aca="true" t="shared" si="18" ref="AA57:AA62">IF(AD57=10,J57,0)</f>
        <v>0</v>
      </c>
      <c r="AB57" s="30">
        <f aca="true" t="shared" si="19" ref="AB57:AB62">IF(AD57=20,J57,0)</f>
        <v>0</v>
      </c>
      <c r="AD57" s="30">
        <v>20</v>
      </c>
      <c r="AE57" s="30">
        <f>G57*0</f>
        <v>0</v>
      </c>
      <c r="AF57" s="30">
        <f>G57*(1-0)</f>
        <v>0</v>
      </c>
    </row>
    <row r="58" spans="1:32" ht="12.75">
      <c r="A58" s="9" t="s">
        <v>45</v>
      </c>
      <c r="B58" s="9"/>
      <c r="C58" s="9" t="s">
        <v>87</v>
      </c>
      <c r="D58" s="9" t="s">
        <v>146</v>
      </c>
      <c r="E58" s="9" t="s">
        <v>165</v>
      </c>
      <c r="F58" s="30">
        <v>17</v>
      </c>
      <c r="H58" s="30">
        <f t="shared" si="12"/>
        <v>0</v>
      </c>
      <c r="I58" s="30">
        <f t="shared" si="13"/>
        <v>0</v>
      </c>
      <c r="J58" s="30">
        <f t="shared" si="14"/>
        <v>0</v>
      </c>
      <c r="K58" s="30">
        <v>0</v>
      </c>
      <c r="L58" s="30">
        <f t="shared" si="15"/>
        <v>0</v>
      </c>
      <c r="N58" s="50" t="s">
        <v>7</v>
      </c>
      <c r="O58" s="30">
        <f t="shared" si="16"/>
        <v>0</v>
      </c>
      <c r="Z58" s="30">
        <f t="shared" si="17"/>
        <v>0</v>
      </c>
      <c r="AA58" s="30">
        <f t="shared" si="18"/>
        <v>0</v>
      </c>
      <c r="AB58" s="30">
        <f t="shared" si="19"/>
        <v>0</v>
      </c>
      <c r="AD58" s="30">
        <v>20</v>
      </c>
      <c r="AE58" s="30">
        <f>G58*0</f>
        <v>0</v>
      </c>
      <c r="AF58" s="30">
        <f>G58*(1-0)</f>
        <v>0</v>
      </c>
    </row>
    <row r="59" spans="1:32" ht="12.75">
      <c r="A59" s="9" t="s">
        <v>46</v>
      </c>
      <c r="B59" s="9"/>
      <c r="C59" s="9" t="s">
        <v>88</v>
      </c>
      <c r="D59" s="9" t="s">
        <v>147</v>
      </c>
      <c r="E59" s="9" t="s">
        <v>163</v>
      </c>
      <c r="F59" s="30">
        <v>142.5</v>
      </c>
      <c r="H59" s="30">
        <f t="shared" si="12"/>
        <v>0</v>
      </c>
      <c r="I59" s="30">
        <f t="shared" si="13"/>
        <v>0</v>
      </c>
      <c r="J59" s="30">
        <f t="shared" si="14"/>
        <v>0</v>
      </c>
      <c r="K59" s="30">
        <v>0.054</v>
      </c>
      <c r="L59" s="30">
        <f t="shared" si="15"/>
        <v>7.695</v>
      </c>
      <c r="N59" s="50" t="s">
        <v>7</v>
      </c>
      <c r="O59" s="30">
        <f t="shared" si="16"/>
        <v>0</v>
      </c>
      <c r="Z59" s="30">
        <f t="shared" si="17"/>
        <v>0</v>
      </c>
      <c r="AA59" s="30">
        <f t="shared" si="18"/>
        <v>0</v>
      </c>
      <c r="AB59" s="30">
        <f t="shared" si="19"/>
        <v>0</v>
      </c>
      <c r="AD59" s="30">
        <v>20</v>
      </c>
      <c r="AE59" s="30">
        <f>G59*0.149299766588863</f>
        <v>0</v>
      </c>
      <c r="AF59" s="30">
        <f>G59*(1-0.149299766588863)</f>
        <v>0</v>
      </c>
    </row>
    <row r="60" spans="1:32" ht="12.75">
      <c r="A60" s="9" t="s">
        <v>47</v>
      </c>
      <c r="B60" s="9"/>
      <c r="C60" s="9" t="s">
        <v>89</v>
      </c>
      <c r="D60" s="9" t="s">
        <v>148</v>
      </c>
      <c r="E60" s="9" t="s">
        <v>163</v>
      </c>
      <c r="F60" s="30">
        <v>85.5</v>
      </c>
      <c r="H60" s="30">
        <f t="shared" si="12"/>
        <v>0</v>
      </c>
      <c r="I60" s="30">
        <f t="shared" si="13"/>
        <v>0</v>
      </c>
      <c r="J60" s="30">
        <f t="shared" si="14"/>
        <v>0</v>
      </c>
      <c r="K60" s="30">
        <v>0.01</v>
      </c>
      <c r="L60" s="30">
        <f t="shared" si="15"/>
        <v>0.855</v>
      </c>
      <c r="N60" s="50" t="s">
        <v>7</v>
      </c>
      <c r="O60" s="30">
        <f t="shared" si="16"/>
        <v>0</v>
      </c>
      <c r="Z60" s="30">
        <f t="shared" si="17"/>
        <v>0</v>
      </c>
      <c r="AA60" s="30">
        <f t="shared" si="18"/>
        <v>0</v>
      </c>
      <c r="AB60" s="30">
        <f t="shared" si="19"/>
        <v>0</v>
      </c>
      <c r="AD60" s="30">
        <v>20</v>
      </c>
      <c r="AE60" s="30">
        <f>G60*0</f>
        <v>0</v>
      </c>
      <c r="AF60" s="30">
        <f>G60*(1-0)</f>
        <v>0</v>
      </c>
    </row>
    <row r="61" spans="1:32" ht="12.75">
      <c r="A61" s="9" t="s">
        <v>48</v>
      </c>
      <c r="B61" s="9"/>
      <c r="C61" s="9" t="s">
        <v>90</v>
      </c>
      <c r="D61" s="9" t="s">
        <v>149</v>
      </c>
      <c r="E61" s="9" t="s">
        <v>166</v>
      </c>
      <c r="F61" s="30">
        <v>26</v>
      </c>
      <c r="H61" s="30">
        <f t="shared" si="12"/>
        <v>0</v>
      </c>
      <c r="I61" s="30">
        <f t="shared" si="13"/>
        <v>0</v>
      </c>
      <c r="J61" s="30">
        <f t="shared" si="14"/>
        <v>0</v>
      </c>
      <c r="K61" s="30">
        <v>0.0036</v>
      </c>
      <c r="L61" s="30">
        <f t="shared" si="15"/>
        <v>0.0936</v>
      </c>
      <c r="N61" s="50" t="s">
        <v>7</v>
      </c>
      <c r="O61" s="30">
        <f t="shared" si="16"/>
        <v>0</v>
      </c>
      <c r="Z61" s="30">
        <f t="shared" si="17"/>
        <v>0</v>
      </c>
      <c r="AA61" s="30">
        <f t="shared" si="18"/>
        <v>0</v>
      </c>
      <c r="AB61" s="30">
        <f t="shared" si="19"/>
        <v>0</v>
      </c>
      <c r="AD61" s="30">
        <v>20</v>
      </c>
      <c r="AE61" s="30">
        <f>G61*0</f>
        <v>0</v>
      </c>
      <c r="AF61" s="30">
        <f>G61*(1-0)</f>
        <v>0</v>
      </c>
    </row>
    <row r="62" spans="1:32" ht="12.75">
      <c r="A62" s="9" t="s">
        <v>49</v>
      </c>
      <c r="B62" s="9"/>
      <c r="C62" s="9" t="s">
        <v>61</v>
      </c>
      <c r="D62" s="9" t="s">
        <v>104</v>
      </c>
      <c r="E62" s="9" t="s">
        <v>164</v>
      </c>
      <c r="F62" s="30">
        <v>14.3171</v>
      </c>
      <c r="H62" s="30">
        <f t="shared" si="12"/>
        <v>0</v>
      </c>
      <c r="I62" s="30">
        <f t="shared" si="13"/>
        <v>0</v>
      </c>
      <c r="J62" s="30">
        <f t="shared" si="14"/>
        <v>0</v>
      </c>
      <c r="K62" s="30">
        <v>0</v>
      </c>
      <c r="L62" s="30">
        <f t="shared" si="15"/>
        <v>0</v>
      </c>
      <c r="N62" s="50" t="s">
        <v>11</v>
      </c>
      <c r="O62" s="30">
        <f t="shared" si="16"/>
        <v>0</v>
      </c>
      <c r="Z62" s="30">
        <f t="shared" si="17"/>
        <v>0</v>
      </c>
      <c r="AA62" s="30">
        <f t="shared" si="18"/>
        <v>0</v>
      </c>
      <c r="AB62" s="30">
        <f t="shared" si="19"/>
        <v>0</v>
      </c>
      <c r="AD62" s="30">
        <v>20</v>
      </c>
      <c r="AE62" s="30">
        <f>G62*0</f>
        <v>0</v>
      </c>
      <c r="AF62" s="30">
        <f>G62*(1-0)</f>
        <v>0</v>
      </c>
    </row>
    <row r="63" spans="1:37" ht="12.75">
      <c r="A63" s="10"/>
      <c r="B63" s="10"/>
      <c r="C63" s="20" t="s">
        <v>91</v>
      </c>
      <c r="D63" s="25" t="s">
        <v>150</v>
      </c>
      <c r="E63" s="28"/>
      <c r="F63" s="28"/>
      <c r="G63" s="28"/>
      <c r="H63" s="52">
        <f>SUM(H64:H70)</f>
        <v>0</v>
      </c>
      <c r="I63" s="52">
        <f>SUM(I64:I70)</f>
        <v>0</v>
      </c>
      <c r="J63" s="52">
        <f>H63+I63</f>
        <v>0</v>
      </c>
      <c r="K63" s="44"/>
      <c r="L63" s="52">
        <f>SUM(L64:L70)</f>
        <v>0</v>
      </c>
      <c r="P63" s="52">
        <f>IF(Q63="PR",J63,SUM(O64:O70))</f>
        <v>0</v>
      </c>
      <c r="Q63" s="44" t="s">
        <v>188</v>
      </c>
      <c r="R63" s="52">
        <f>IF(Q63="HS",H63,0)</f>
        <v>0</v>
      </c>
      <c r="S63" s="52">
        <f>IF(Q63="HS",I63-P63,0)</f>
        <v>0</v>
      </c>
      <c r="T63" s="52">
        <f>IF(Q63="PS",H63,0)</f>
        <v>0</v>
      </c>
      <c r="U63" s="52">
        <f>IF(Q63="PS",I63-P63,0)</f>
        <v>0</v>
      </c>
      <c r="V63" s="52">
        <f>IF(Q63="MP",H63,0)</f>
        <v>0</v>
      </c>
      <c r="W63" s="52">
        <f>IF(Q63="MP",I63-P63,0)</f>
        <v>0</v>
      </c>
      <c r="X63" s="52">
        <f>IF(Q63="OM",H63,0)</f>
        <v>0</v>
      </c>
      <c r="Y63" s="44"/>
      <c r="AI63" s="52">
        <f>SUM(Z64:Z70)</f>
        <v>0</v>
      </c>
      <c r="AJ63" s="52">
        <f>SUM(AA64:AA70)</f>
        <v>0</v>
      </c>
      <c r="AK63" s="52">
        <f>SUM(AB64:AB70)</f>
        <v>0</v>
      </c>
    </row>
    <row r="64" spans="1:32" ht="12.75">
      <c r="A64" s="9" t="s">
        <v>50</v>
      </c>
      <c r="B64" s="9"/>
      <c r="C64" s="9" t="s">
        <v>92</v>
      </c>
      <c r="D64" s="9" t="s">
        <v>151</v>
      </c>
      <c r="E64" s="9" t="s">
        <v>164</v>
      </c>
      <c r="F64" s="30">
        <v>15.17</v>
      </c>
      <c r="H64" s="30">
        <f aca="true" t="shared" si="20" ref="H64:H70">ROUND(F64*AE64,2)</f>
        <v>0</v>
      </c>
      <c r="I64" s="30">
        <f aca="true" t="shared" si="21" ref="I64:I70">J64-H64</f>
        <v>0</v>
      </c>
      <c r="J64" s="30">
        <f aca="true" t="shared" si="22" ref="J64:J70">ROUND(F64*G64,2)</f>
        <v>0</v>
      </c>
      <c r="K64" s="30">
        <v>0</v>
      </c>
      <c r="L64" s="30">
        <f aca="true" t="shared" si="23" ref="L64:L70">F64*K64</f>
        <v>0</v>
      </c>
      <c r="N64" s="50" t="s">
        <v>11</v>
      </c>
      <c r="O64" s="30">
        <f aca="true" t="shared" si="24" ref="O64:O70">IF(N64="5",I64,0)</f>
        <v>0</v>
      </c>
      <c r="Z64" s="30">
        <f aca="true" t="shared" si="25" ref="Z64:Z70">IF(AD64=0,J64,0)</f>
        <v>0</v>
      </c>
      <c r="AA64" s="30">
        <f aca="true" t="shared" si="26" ref="AA64:AA70">IF(AD64=10,J64,0)</f>
        <v>0</v>
      </c>
      <c r="AB64" s="30">
        <f aca="true" t="shared" si="27" ref="AB64:AB70">IF(AD64=20,J64,0)</f>
        <v>0</v>
      </c>
      <c r="AD64" s="30">
        <v>20</v>
      </c>
      <c r="AE64" s="30">
        <f aca="true" t="shared" si="28" ref="AE64:AE70">G64*0</f>
        <v>0</v>
      </c>
      <c r="AF64" s="30">
        <f aca="true" t="shared" si="29" ref="AF64:AF70">G64*(1-0)</f>
        <v>0</v>
      </c>
    </row>
    <row r="65" spans="1:32" ht="12.75">
      <c r="A65" s="9" t="s">
        <v>51</v>
      </c>
      <c r="B65" s="9"/>
      <c r="C65" s="9" t="s">
        <v>93</v>
      </c>
      <c r="D65" s="9" t="s">
        <v>152</v>
      </c>
      <c r="E65" s="9" t="s">
        <v>164</v>
      </c>
      <c r="F65" s="30">
        <v>15.17</v>
      </c>
      <c r="H65" s="30">
        <f t="shared" si="20"/>
        <v>0</v>
      </c>
      <c r="I65" s="30">
        <f t="shared" si="21"/>
        <v>0</v>
      </c>
      <c r="J65" s="30">
        <f t="shared" si="22"/>
        <v>0</v>
      </c>
      <c r="K65" s="30">
        <v>0</v>
      </c>
      <c r="L65" s="30">
        <f t="shared" si="23"/>
        <v>0</v>
      </c>
      <c r="N65" s="50" t="s">
        <v>11</v>
      </c>
      <c r="O65" s="30">
        <f t="shared" si="24"/>
        <v>0</v>
      </c>
      <c r="Z65" s="30">
        <f t="shared" si="25"/>
        <v>0</v>
      </c>
      <c r="AA65" s="30">
        <f t="shared" si="26"/>
        <v>0</v>
      </c>
      <c r="AB65" s="30">
        <f t="shared" si="27"/>
        <v>0</v>
      </c>
      <c r="AD65" s="30">
        <v>20</v>
      </c>
      <c r="AE65" s="30">
        <f t="shared" si="28"/>
        <v>0</v>
      </c>
      <c r="AF65" s="30">
        <f t="shared" si="29"/>
        <v>0</v>
      </c>
    </row>
    <row r="66" spans="1:32" ht="12.75">
      <c r="A66" s="9" t="s">
        <v>52</v>
      </c>
      <c r="B66" s="9"/>
      <c r="C66" s="9" t="s">
        <v>94</v>
      </c>
      <c r="D66" s="9" t="s">
        <v>153</v>
      </c>
      <c r="E66" s="9" t="s">
        <v>164</v>
      </c>
      <c r="F66" s="30">
        <v>15.17</v>
      </c>
      <c r="H66" s="30">
        <f t="shared" si="20"/>
        <v>0</v>
      </c>
      <c r="I66" s="30">
        <f t="shared" si="21"/>
        <v>0</v>
      </c>
      <c r="J66" s="30">
        <f t="shared" si="22"/>
        <v>0</v>
      </c>
      <c r="K66" s="30">
        <v>0</v>
      </c>
      <c r="L66" s="30">
        <f t="shared" si="23"/>
        <v>0</v>
      </c>
      <c r="N66" s="50" t="s">
        <v>11</v>
      </c>
      <c r="O66" s="30">
        <f t="shared" si="24"/>
        <v>0</v>
      </c>
      <c r="Z66" s="30">
        <f t="shared" si="25"/>
        <v>0</v>
      </c>
      <c r="AA66" s="30">
        <f t="shared" si="26"/>
        <v>0</v>
      </c>
      <c r="AB66" s="30">
        <f t="shared" si="27"/>
        <v>0</v>
      </c>
      <c r="AD66" s="30">
        <v>20</v>
      </c>
      <c r="AE66" s="30">
        <f t="shared" si="28"/>
        <v>0</v>
      </c>
      <c r="AF66" s="30">
        <f t="shared" si="29"/>
        <v>0</v>
      </c>
    </row>
    <row r="67" spans="1:32" ht="12.75">
      <c r="A67" s="9" t="s">
        <v>53</v>
      </c>
      <c r="B67" s="9"/>
      <c r="C67" s="9" t="s">
        <v>95</v>
      </c>
      <c r="D67" s="9" t="s">
        <v>154</v>
      </c>
      <c r="E67" s="9" t="s">
        <v>164</v>
      </c>
      <c r="F67" s="30">
        <v>15.17</v>
      </c>
      <c r="H67" s="30">
        <f t="shared" si="20"/>
        <v>0</v>
      </c>
      <c r="I67" s="30">
        <f t="shared" si="21"/>
        <v>0</v>
      </c>
      <c r="J67" s="30">
        <f t="shared" si="22"/>
        <v>0</v>
      </c>
      <c r="K67" s="30">
        <v>0</v>
      </c>
      <c r="L67" s="30">
        <f t="shared" si="23"/>
        <v>0</v>
      </c>
      <c r="N67" s="50" t="s">
        <v>11</v>
      </c>
      <c r="O67" s="30">
        <f t="shared" si="24"/>
        <v>0</v>
      </c>
      <c r="Z67" s="30">
        <f t="shared" si="25"/>
        <v>0</v>
      </c>
      <c r="AA67" s="30">
        <f t="shared" si="26"/>
        <v>0</v>
      </c>
      <c r="AB67" s="30">
        <f t="shared" si="27"/>
        <v>0</v>
      </c>
      <c r="AD67" s="30">
        <v>20</v>
      </c>
      <c r="AE67" s="30">
        <f t="shared" si="28"/>
        <v>0</v>
      </c>
      <c r="AF67" s="30">
        <f t="shared" si="29"/>
        <v>0</v>
      </c>
    </row>
    <row r="68" spans="1:32" ht="12.75">
      <c r="A68" s="9" t="s">
        <v>54</v>
      </c>
      <c r="B68" s="9"/>
      <c r="C68" s="9" t="s">
        <v>96</v>
      </c>
      <c r="D68" s="9" t="s">
        <v>155</v>
      </c>
      <c r="E68" s="9" t="s">
        <v>164</v>
      </c>
      <c r="F68" s="30">
        <v>15.17</v>
      </c>
      <c r="H68" s="30">
        <f t="shared" si="20"/>
        <v>0</v>
      </c>
      <c r="I68" s="30">
        <f t="shared" si="21"/>
        <v>0</v>
      </c>
      <c r="J68" s="30">
        <f t="shared" si="22"/>
        <v>0</v>
      </c>
      <c r="K68" s="30">
        <v>0</v>
      </c>
      <c r="L68" s="30">
        <f t="shared" si="23"/>
        <v>0</v>
      </c>
      <c r="N68" s="50" t="s">
        <v>11</v>
      </c>
      <c r="O68" s="30">
        <f t="shared" si="24"/>
        <v>0</v>
      </c>
      <c r="Z68" s="30">
        <f t="shared" si="25"/>
        <v>0</v>
      </c>
      <c r="AA68" s="30">
        <f t="shared" si="26"/>
        <v>0</v>
      </c>
      <c r="AB68" s="30">
        <f t="shared" si="27"/>
        <v>0</v>
      </c>
      <c r="AD68" s="30">
        <v>20</v>
      </c>
      <c r="AE68" s="30">
        <f t="shared" si="28"/>
        <v>0</v>
      </c>
      <c r="AF68" s="30">
        <f t="shared" si="29"/>
        <v>0</v>
      </c>
    </row>
    <row r="69" spans="1:32" ht="12.75">
      <c r="A69" s="9" t="s">
        <v>55</v>
      </c>
      <c r="B69" s="9"/>
      <c r="C69" s="9" t="s">
        <v>97</v>
      </c>
      <c r="D69" s="9" t="s">
        <v>156</v>
      </c>
      <c r="E69" s="9" t="s">
        <v>164</v>
      </c>
      <c r="F69" s="30">
        <v>7.385</v>
      </c>
      <c r="H69" s="30">
        <f t="shared" si="20"/>
        <v>0</v>
      </c>
      <c r="I69" s="30">
        <f t="shared" si="21"/>
        <v>0</v>
      </c>
      <c r="J69" s="30">
        <f t="shared" si="22"/>
        <v>0</v>
      </c>
      <c r="K69" s="30">
        <v>0</v>
      </c>
      <c r="L69" s="30">
        <f t="shared" si="23"/>
        <v>0</v>
      </c>
      <c r="N69" s="50" t="s">
        <v>11</v>
      </c>
      <c r="O69" s="30">
        <f t="shared" si="24"/>
        <v>0</v>
      </c>
      <c r="Z69" s="30">
        <f t="shared" si="25"/>
        <v>0</v>
      </c>
      <c r="AA69" s="30">
        <f t="shared" si="26"/>
        <v>0</v>
      </c>
      <c r="AB69" s="30">
        <f t="shared" si="27"/>
        <v>0</v>
      </c>
      <c r="AD69" s="30">
        <v>20</v>
      </c>
      <c r="AE69" s="30">
        <f t="shared" si="28"/>
        <v>0</v>
      </c>
      <c r="AF69" s="30">
        <f t="shared" si="29"/>
        <v>0</v>
      </c>
    </row>
    <row r="70" spans="1:32" ht="12.75">
      <c r="A70" s="11" t="s">
        <v>56</v>
      </c>
      <c r="B70" s="11"/>
      <c r="C70" s="11" t="s">
        <v>98</v>
      </c>
      <c r="D70" s="11" t="s">
        <v>157</v>
      </c>
      <c r="E70" s="11" t="s">
        <v>164</v>
      </c>
      <c r="F70" s="31">
        <v>7.785</v>
      </c>
      <c r="G70" s="35"/>
      <c r="H70" s="31">
        <f t="shared" si="20"/>
        <v>0</v>
      </c>
      <c r="I70" s="31">
        <f t="shared" si="21"/>
        <v>0</v>
      </c>
      <c r="J70" s="31">
        <f t="shared" si="22"/>
        <v>0</v>
      </c>
      <c r="K70" s="31">
        <v>0</v>
      </c>
      <c r="L70" s="31">
        <f t="shared" si="23"/>
        <v>0</v>
      </c>
      <c r="N70" s="50" t="s">
        <v>11</v>
      </c>
      <c r="O70" s="30">
        <f t="shared" si="24"/>
        <v>0</v>
      </c>
      <c r="Z70" s="30">
        <f t="shared" si="25"/>
        <v>0</v>
      </c>
      <c r="AA70" s="30">
        <f t="shared" si="26"/>
        <v>0</v>
      </c>
      <c r="AB70" s="30">
        <f t="shared" si="27"/>
        <v>0</v>
      </c>
      <c r="AD70" s="30">
        <v>20</v>
      </c>
      <c r="AE70" s="30">
        <f t="shared" si="28"/>
        <v>0</v>
      </c>
      <c r="AF70" s="30">
        <f t="shared" si="29"/>
        <v>0</v>
      </c>
    </row>
    <row r="71" spans="1:28" ht="12.75">
      <c r="A71" s="12"/>
      <c r="B71" s="12"/>
      <c r="C71" s="12"/>
      <c r="D71" s="12"/>
      <c r="E71" s="12"/>
      <c r="F71" s="12"/>
      <c r="G71" s="12"/>
      <c r="H71" s="21" t="s">
        <v>173</v>
      </c>
      <c r="I71" s="40"/>
      <c r="J71" s="53">
        <f>J12+J15+J19+J22+J45+J48+J52+J56+J63</f>
        <v>0</v>
      </c>
      <c r="K71" s="12"/>
      <c r="L71" s="12"/>
      <c r="Z71" s="54">
        <f>SUM(Z13:Z70)</f>
        <v>0</v>
      </c>
      <c r="AA71" s="54">
        <f>SUM(AA13:AA70)</f>
        <v>0</v>
      </c>
      <c r="AB71" s="54">
        <f>SUM(AB13:AB70)</f>
        <v>0</v>
      </c>
    </row>
  </sheetData>
  <sheetProtection/>
  <mergeCells count="37">
    <mergeCell ref="D45:G45"/>
    <mergeCell ref="D48:G48"/>
    <mergeCell ref="D52:G52"/>
    <mergeCell ref="D56:G56"/>
    <mergeCell ref="D63:G63"/>
    <mergeCell ref="H71:I71"/>
    <mergeCell ref="H10:J10"/>
    <mergeCell ref="K10:L10"/>
    <mergeCell ref="D12:G12"/>
    <mergeCell ref="D15:G15"/>
    <mergeCell ref="D19:G19"/>
    <mergeCell ref="D22:G22"/>
    <mergeCell ref="I2:I3"/>
    <mergeCell ref="I4:I5"/>
    <mergeCell ref="I6:I7"/>
    <mergeCell ref="I8:I9"/>
    <mergeCell ref="J2:L3"/>
    <mergeCell ref="J4:L5"/>
    <mergeCell ref="J6:L7"/>
    <mergeCell ref="J8:L9"/>
    <mergeCell ref="E4:F5"/>
    <mergeCell ref="E6:F7"/>
    <mergeCell ref="E8:F9"/>
    <mergeCell ref="G2:H3"/>
    <mergeCell ref="G4:H5"/>
    <mergeCell ref="G6:H7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C8" sqref="C8:D9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55" t="s">
        <v>196</v>
      </c>
      <c r="B1" s="69"/>
      <c r="C1" s="69"/>
      <c r="D1" s="69"/>
      <c r="E1" s="69"/>
      <c r="F1" s="69"/>
      <c r="G1" s="69"/>
      <c r="H1" s="69"/>
      <c r="I1" s="69"/>
    </row>
    <row r="2" spans="1:10" ht="12.75">
      <c r="A2" s="2" t="s">
        <v>1</v>
      </c>
      <c r="B2" s="14"/>
      <c r="C2" s="21" t="s">
        <v>240</v>
      </c>
      <c r="D2" s="40"/>
      <c r="E2" s="26" t="s">
        <v>174</v>
      </c>
      <c r="F2" s="26" t="s">
        <v>179</v>
      </c>
      <c r="G2" s="14"/>
      <c r="H2" s="26" t="s">
        <v>232</v>
      </c>
      <c r="I2" s="89" t="s">
        <v>236</v>
      </c>
      <c r="J2" s="48"/>
    </row>
    <row r="3" spans="1:10" ht="12.75">
      <c r="A3" s="3"/>
      <c r="B3" s="15"/>
      <c r="C3" s="22"/>
      <c r="D3" s="22"/>
      <c r="E3" s="15"/>
      <c r="F3" s="15"/>
      <c r="G3" s="15"/>
      <c r="H3" s="15"/>
      <c r="I3" s="46"/>
      <c r="J3" s="48"/>
    </row>
    <row r="4" spans="1:10" ht="12.75">
      <c r="A4" s="4" t="s">
        <v>2</v>
      </c>
      <c r="B4" s="15"/>
      <c r="C4" s="23" t="s">
        <v>239</v>
      </c>
      <c r="D4" s="15"/>
      <c r="E4" s="23" t="s">
        <v>175</v>
      </c>
      <c r="F4" s="23" t="s">
        <v>180</v>
      </c>
      <c r="G4" s="15"/>
      <c r="H4" s="23" t="s">
        <v>232</v>
      </c>
      <c r="I4" s="90" t="s">
        <v>237</v>
      </c>
      <c r="J4" s="48"/>
    </row>
    <row r="5" spans="1:10" ht="12.75">
      <c r="A5" s="3"/>
      <c r="B5" s="15"/>
      <c r="C5" s="15"/>
      <c r="D5" s="15"/>
      <c r="E5" s="15"/>
      <c r="F5" s="15"/>
      <c r="G5" s="15"/>
      <c r="H5" s="15"/>
      <c r="I5" s="46"/>
      <c r="J5" s="48"/>
    </row>
    <row r="6" spans="1:10" ht="12.75">
      <c r="A6" s="4" t="s">
        <v>3</v>
      </c>
      <c r="B6" s="15"/>
      <c r="C6" s="23" t="s">
        <v>100</v>
      </c>
      <c r="D6" s="15"/>
      <c r="E6" s="23" t="s">
        <v>176</v>
      </c>
      <c r="F6" s="23"/>
      <c r="G6" s="15"/>
      <c r="H6" s="23" t="s">
        <v>232</v>
      </c>
      <c r="I6" s="90"/>
      <c r="J6" s="48"/>
    </row>
    <row r="7" spans="1:10" ht="12.75">
      <c r="A7" s="3"/>
      <c r="B7" s="15"/>
      <c r="C7" s="15"/>
      <c r="D7" s="15"/>
      <c r="E7" s="15"/>
      <c r="F7" s="15"/>
      <c r="G7" s="15"/>
      <c r="H7" s="15"/>
      <c r="I7" s="46"/>
      <c r="J7" s="48"/>
    </row>
    <row r="8" spans="1:10" ht="12.75">
      <c r="A8" s="4" t="s">
        <v>159</v>
      </c>
      <c r="B8" s="15"/>
      <c r="C8" s="32"/>
      <c r="D8" s="15"/>
      <c r="E8" s="23" t="s">
        <v>160</v>
      </c>
      <c r="F8" s="15"/>
      <c r="G8" s="15"/>
      <c r="H8" s="23" t="s">
        <v>233</v>
      </c>
      <c r="I8" s="90" t="s">
        <v>56</v>
      </c>
      <c r="J8" s="48"/>
    </row>
    <row r="9" spans="1:10" ht="12.75">
      <c r="A9" s="3"/>
      <c r="B9" s="15"/>
      <c r="C9" s="15"/>
      <c r="D9" s="15"/>
      <c r="E9" s="15"/>
      <c r="F9" s="15"/>
      <c r="G9" s="15"/>
      <c r="H9" s="15"/>
      <c r="I9" s="46"/>
      <c r="J9" s="48"/>
    </row>
    <row r="10" spans="1:10" ht="12.75">
      <c r="A10" s="4" t="s">
        <v>4</v>
      </c>
      <c r="B10" s="15"/>
      <c r="C10" s="23"/>
      <c r="D10" s="15"/>
      <c r="E10" s="23" t="s">
        <v>177</v>
      </c>
      <c r="F10" s="23" t="s">
        <v>238</v>
      </c>
      <c r="G10" s="15"/>
      <c r="H10" s="23" t="s">
        <v>234</v>
      </c>
      <c r="I10" s="91">
        <v>40883</v>
      </c>
      <c r="J10" s="48"/>
    </row>
    <row r="11" spans="1:10" ht="12.75">
      <c r="A11" s="56"/>
      <c r="B11" s="70"/>
      <c r="C11" s="70"/>
      <c r="D11" s="70"/>
      <c r="E11" s="70"/>
      <c r="F11" s="70"/>
      <c r="G11" s="70"/>
      <c r="H11" s="70"/>
      <c r="I11" s="92"/>
      <c r="J11" s="48"/>
    </row>
    <row r="12" spans="1:9" ht="23.25" customHeight="1">
      <c r="A12" s="57" t="s">
        <v>197</v>
      </c>
      <c r="B12" s="71"/>
      <c r="C12" s="71"/>
      <c r="D12" s="71"/>
      <c r="E12" s="71"/>
      <c r="F12" s="71"/>
      <c r="G12" s="71"/>
      <c r="H12" s="71"/>
      <c r="I12" s="71"/>
    </row>
    <row r="13" spans="1:10" ht="26.25" customHeight="1">
      <c r="A13" s="58" t="s">
        <v>198</v>
      </c>
      <c r="B13" s="72" t="s">
        <v>210</v>
      </c>
      <c r="C13" s="79"/>
      <c r="D13" s="58" t="s">
        <v>212</v>
      </c>
      <c r="E13" s="72" t="s">
        <v>220</v>
      </c>
      <c r="F13" s="79"/>
      <c r="G13" s="58" t="s">
        <v>221</v>
      </c>
      <c r="H13" s="72" t="s">
        <v>235</v>
      </c>
      <c r="I13" s="79"/>
      <c r="J13" s="48"/>
    </row>
    <row r="14" spans="1:10" ht="15" customHeight="1">
      <c r="A14" s="59" t="s">
        <v>199</v>
      </c>
      <c r="B14" s="73" t="s">
        <v>211</v>
      </c>
      <c r="C14" s="80"/>
      <c r="D14" s="85" t="s">
        <v>213</v>
      </c>
      <c r="E14" s="87"/>
      <c r="F14" s="80"/>
      <c r="G14" s="85" t="s">
        <v>222</v>
      </c>
      <c r="H14" s="87"/>
      <c r="I14" s="80"/>
      <c r="J14" s="48"/>
    </row>
    <row r="15" spans="1:10" ht="15" customHeight="1">
      <c r="A15" s="60"/>
      <c r="B15" s="73" t="s">
        <v>178</v>
      </c>
      <c r="C15" s="80"/>
      <c r="D15" s="85" t="s">
        <v>214</v>
      </c>
      <c r="E15" s="87"/>
      <c r="F15" s="80"/>
      <c r="G15" s="85" t="s">
        <v>223</v>
      </c>
      <c r="H15" s="87"/>
      <c r="I15" s="80"/>
      <c r="J15" s="48"/>
    </row>
    <row r="16" spans="1:10" ht="15" customHeight="1">
      <c r="A16" s="59" t="s">
        <v>200</v>
      </c>
      <c r="B16" s="73" t="s">
        <v>211</v>
      </c>
      <c r="C16" s="80"/>
      <c r="D16" s="85" t="s">
        <v>215</v>
      </c>
      <c r="E16" s="87"/>
      <c r="F16" s="80"/>
      <c r="G16" s="85" t="s">
        <v>224</v>
      </c>
      <c r="H16" s="87"/>
      <c r="I16" s="80"/>
      <c r="J16" s="48"/>
    </row>
    <row r="17" spans="1:10" ht="15" customHeight="1">
      <c r="A17" s="60"/>
      <c r="B17" s="73" t="s">
        <v>178</v>
      </c>
      <c r="C17" s="80"/>
      <c r="D17" s="85"/>
      <c r="E17" s="87"/>
      <c r="F17" s="88"/>
      <c r="G17" s="85" t="s">
        <v>225</v>
      </c>
      <c r="H17" s="87"/>
      <c r="I17" s="80"/>
      <c r="J17" s="48"/>
    </row>
    <row r="18" spans="1:10" ht="15" customHeight="1">
      <c r="A18" s="59" t="s">
        <v>201</v>
      </c>
      <c r="B18" s="73" t="s">
        <v>211</v>
      </c>
      <c r="C18" s="80"/>
      <c r="D18" s="85"/>
      <c r="E18" s="87"/>
      <c r="F18" s="88"/>
      <c r="G18" s="85" t="s">
        <v>226</v>
      </c>
      <c r="H18" s="87"/>
      <c r="I18" s="80"/>
      <c r="J18" s="48"/>
    </row>
    <row r="19" spans="1:10" ht="15" customHeight="1">
      <c r="A19" s="60"/>
      <c r="B19" s="73" t="s">
        <v>178</v>
      </c>
      <c r="C19" s="80"/>
      <c r="D19" s="85"/>
      <c r="E19" s="87"/>
      <c r="F19" s="88"/>
      <c r="G19" s="85" t="s">
        <v>227</v>
      </c>
      <c r="H19" s="87"/>
      <c r="I19" s="80"/>
      <c r="J19" s="48"/>
    </row>
    <row r="20" spans="1:10" ht="15" customHeight="1">
      <c r="A20" s="61" t="s">
        <v>202</v>
      </c>
      <c r="B20" s="74"/>
      <c r="C20" s="80"/>
      <c r="D20" s="85"/>
      <c r="E20" s="87"/>
      <c r="F20" s="88"/>
      <c r="G20" s="85"/>
      <c r="H20" s="87"/>
      <c r="I20" s="88"/>
      <c r="J20" s="48"/>
    </row>
    <row r="21" spans="1:10" ht="15" customHeight="1">
      <c r="A21" s="61" t="s">
        <v>203</v>
      </c>
      <c r="B21" s="74"/>
      <c r="C21" s="80"/>
      <c r="D21" s="85"/>
      <c r="E21" s="87"/>
      <c r="F21" s="88"/>
      <c r="G21" s="85"/>
      <c r="H21" s="87"/>
      <c r="I21" s="88"/>
      <c r="J21" s="48"/>
    </row>
    <row r="22" spans="1:10" ht="16.5" customHeight="1">
      <c r="A22" s="61" t="s">
        <v>204</v>
      </c>
      <c r="B22" s="74"/>
      <c r="C22" s="80"/>
      <c r="D22" s="61" t="s">
        <v>216</v>
      </c>
      <c r="E22" s="74"/>
      <c r="F22" s="80"/>
      <c r="G22" s="61" t="s">
        <v>228</v>
      </c>
      <c r="H22" s="74"/>
      <c r="I22" s="80"/>
      <c r="J22" s="48"/>
    </row>
    <row r="23" spans="1:9" ht="12.75">
      <c r="A23" s="62"/>
      <c r="B23" s="62"/>
      <c r="C23" s="62"/>
      <c r="D23" s="12"/>
      <c r="E23" s="12"/>
      <c r="F23" s="12"/>
      <c r="G23" s="12"/>
      <c r="H23" s="12"/>
      <c r="I23" s="12"/>
    </row>
    <row r="24" spans="1:9" ht="15" customHeight="1">
      <c r="A24" s="63" t="s">
        <v>205</v>
      </c>
      <c r="B24" s="75"/>
      <c r="C24" s="81"/>
      <c r="D24" s="86"/>
      <c r="E24" s="35"/>
      <c r="F24" s="35"/>
      <c r="G24" s="35"/>
      <c r="H24" s="35"/>
      <c r="I24" s="35"/>
    </row>
    <row r="25" spans="1:10" ht="15" customHeight="1">
      <c r="A25" s="63" t="s">
        <v>206</v>
      </c>
      <c r="B25" s="75"/>
      <c r="C25" s="81"/>
      <c r="D25" s="63" t="s">
        <v>217</v>
      </c>
      <c r="E25" s="75"/>
      <c r="F25" s="81"/>
      <c r="G25" s="63" t="s">
        <v>229</v>
      </c>
      <c r="H25" s="75"/>
      <c r="I25" s="81"/>
      <c r="J25" s="48"/>
    </row>
    <row r="26" spans="1:10" ht="15" customHeight="1">
      <c r="A26" s="63" t="s">
        <v>207</v>
      </c>
      <c r="B26" s="75"/>
      <c r="C26" s="81"/>
      <c r="D26" s="63" t="s">
        <v>218</v>
      </c>
      <c r="E26" s="75"/>
      <c r="F26" s="81"/>
      <c r="G26" s="63" t="s">
        <v>230</v>
      </c>
      <c r="H26" s="75"/>
      <c r="I26" s="81"/>
      <c r="J26" s="48"/>
    </row>
    <row r="27" spans="1:9" ht="12.75">
      <c r="A27" s="64"/>
      <c r="B27" s="64"/>
      <c r="C27" s="64"/>
      <c r="D27" s="64"/>
      <c r="E27" s="64"/>
      <c r="F27" s="64"/>
      <c r="G27" s="64"/>
      <c r="H27" s="64"/>
      <c r="I27" s="64"/>
    </row>
    <row r="28" spans="1:10" ht="14.25" customHeight="1">
      <c r="A28" s="65" t="s">
        <v>208</v>
      </c>
      <c r="B28" s="76"/>
      <c r="C28" s="82"/>
      <c r="D28" s="65" t="s">
        <v>219</v>
      </c>
      <c r="E28" s="76"/>
      <c r="F28" s="82"/>
      <c r="G28" s="65" t="s">
        <v>231</v>
      </c>
      <c r="H28" s="76"/>
      <c r="I28" s="82"/>
      <c r="J28" s="49"/>
    </row>
    <row r="29" spans="1:10" ht="14.25" customHeight="1">
      <c r="A29" s="66"/>
      <c r="B29" s="77"/>
      <c r="C29" s="83"/>
      <c r="D29" s="66"/>
      <c r="E29" s="77"/>
      <c r="F29" s="83"/>
      <c r="G29" s="66"/>
      <c r="H29" s="77"/>
      <c r="I29" s="83"/>
      <c r="J29" s="49"/>
    </row>
    <row r="30" spans="1:10" ht="14.25" customHeight="1">
      <c r="A30" s="66"/>
      <c r="B30" s="77"/>
      <c r="C30" s="83"/>
      <c r="D30" s="66"/>
      <c r="E30" s="77"/>
      <c r="F30" s="83"/>
      <c r="G30" s="66"/>
      <c r="H30" s="77"/>
      <c r="I30" s="83"/>
      <c r="J30" s="49"/>
    </row>
    <row r="31" spans="1:10" ht="14.25" customHeight="1">
      <c r="A31" s="66"/>
      <c r="B31" s="77"/>
      <c r="C31" s="83"/>
      <c r="D31" s="66"/>
      <c r="E31" s="77"/>
      <c r="F31" s="83"/>
      <c r="G31" s="66"/>
      <c r="H31" s="77"/>
      <c r="I31" s="83"/>
      <c r="J31" s="49"/>
    </row>
    <row r="32" spans="1:10" ht="14.25" customHeight="1">
      <c r="A32" s="67" t="s">
        <v>209</v>
      </c>
      <c r="B32" s="78"/>
      <c r="C32" s="84"/>
      <c r="D32" s="67" t="s">
        <v>209</v>
      </c>
      <c r="E32" s="78"/>
      <c r="F32" s="84"/>
      <c r="G32" s="67" t="s">
        <v>209</v>
      </c>
      <c r="H32" s="78"/>
      <c r="I32" s="84"/>
      <c r="J32" s="49"/>
    </row>
    <row r="33" spans="1:9" ht="12.75">
      <c r="A33" s="68"/>
      <c r="B33" s="68"/>
      <c r="C33" s="68"/>
      <c r="D33" s="68"/>
      <c r="E33" s="68"/>
      <c r="F33" s="68"/>
      <c r="G33" s="68"/>
      <c r="H33" s="68"/>
      <c r="I33" s="68"/>
    </row>
  </sheetData>
  <sheetProtection/>
  <mergeCells count="78">
    <mergeCell ref="G29:I29"/>
    <mergeCell ref="G30:I30"/>
    <mergeCell ref="G31:I31"/>
    <mergeCell ref="G32:I32"/>
    <mergeCell ref="A29:C29"/>
    <mergeCell ref="A30:C30"/>
    <mergeCell ref="A31:C31"/>
    <mergeCell ref="A32:C32"/>
    <mergeCell ref="D28:F28"/>
    <mergeCell ref="D29:F29"/>
    <mergeCell ref="D30:F30"/>
    <mergeCell ref="D31:F31"/>
    <mergeCell ref="D32:F32"/>
    <mergeCell ref="A26:B26"/>
    <mergeCell ref="D25:E25"/>
    <mergeCell ref="D26:E26"/>
    <mergeCell ref="G25:H25"/>
    <mergeCell ref="G26:H26"/>
    <mergeCell ref="A28:C28"/>
    <mergeCell ref="G28:I28"/>
    <mergeCell ref="G19:H19"/>
    <mergeCell ref="G20:H20"/>
    <mergeCell ref="G21:H21"/>
    <mergeCell ref="G22:H22"/>
    <mergeCell ref="A24:B24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vlastnik</cp:lastModifiedBy>
  <dcterms:modified xsi:type="dcterms:W3CDTF">2011-12-06T21:02:56Z</dcterms:modified>
  <cp:category/>
  <cp:version/>
  <cp:contentType/>
  <cp:contentStatus/>
</cp:coreProperties>
</file>